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78E8D06-F64D-4D4D-BC89-2DC11BF053AF}"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3)" sheetId="184" r:id="rId29"/>
    <sheet name="SEFA NOTES" sheetId="173" r:id="rId30"/>
    <sheet name="SF&amp;QC Sec-1" sheetId="174" r:id="rId31"/>
    <sheet name="SF&amp;QC Sec-2" sheetId="175" r:id="rId32"/>
    <sheet name="SF&amp;QC Sec-2 (2)" sheetId="185" r:id="rId33"/>
    <sheet name="SF&amp;QC Sec-2 (3)" sheetId="186" r:id="rId34"/>
    <sheet name="SF&amp;QC Sec-3 (2)" sheetId="187" r:id="rId35"/>
    <sheet name="SF&amp;QC Sec-3" sheetId="176" r:id="rId36"/>
    <sheet name="SSPAF" sheetId="177" r:id="rId37"/>
  </sheets>
  <definedNames>
    <definedName name="_xlnm.Print_Area" localSheetId="27">' SEFA'!$B$1:$M$46</definedName>
    <definedName name="_xlnm.Print_Area" localSheetId="28">' SEFA (3)'!$B$1:$M$46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5">'SF&amp;QC Sec-3'!$A$1:$K$48</definedName>
    <definedName name="_xlnm.Print_Area" localSheetId="34">'SF&amp;QC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5">#REF!</definedName>
    <definedName name="SCHADDRS" localSheetId="34">#REF!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5">#REF!</definedName>
    <definedName name="SCHCTY" localSheetId="34">#REF!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5">#REF!</definedName>
    <definedName name="SCHNMBR" localSheetId="34">#REF!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5">#REF!</definedName>
    <definedName name="SCHNME" localSheetId="34">#REF!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5">#REF!</definedName>
    <definedName name="SUPT" localSheetId="34">#REF!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l="1"/>
  <c r="B4" i="185"/>
  <c r="J15" i="184" l="1"/>
  <c r="I15" i="184"/>
  <c r="F15" i="184"/>
  <c r="L14" i="184"/>
  <c r="L13" i="184"/>
  <c r="B4" i="184"/>
  <c r="I22" i="179"/>
  <c r="I17" i="184" s="1"/>
  <c r="J20" i="179"/>
  <c r="I20" i="179"/>
  <c r="F20" i="179"/>
  <c r="L18" i="179"/>
  <c r="J16" i="179"/>
  <c r="J22" i="179" s="1"/>
  <c r="I16" i="179"/>
  <c r="F16" i="179"/>
  <c r="F22" i="179" s="1"/>
  <c r="L14" i="179"/>
  <c r="F17" i="184" l="1"/>
  <c r="J17" i="184"/>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9" i="179" l="1"/>
  <c r="L17" i="179"/>
  <c r="L15"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4"/>
  <c r="B2" i="179"/>
  <c r="B2" i="187"/>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1" i="127"/>
  <c r="B62"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E29" i="108" l="1"/>
  <c r="L5" i="11"/>
  <c r="B2056" i="106" s="1"/>
  <c r="D2056" i="106" s="1"/>
  <c r="J352" i="29"/>
  <c r="J367" i="29" s="1"/>
  <c r="B7245" i="106" s="1"/>
  <c r="D7245" i="106" s="1"/>
  <c r="D6103" i="106"/>
  <c r="K184" i="29"/>
  <c r="F13" i="4" s="1"/>
  <c r="B2596" i="106" s="1"/>
  <c r="D2596" i="106" s="1"/>
  <c r="G210" i="29"/>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7270" i="106"/>
  <c r="B1328" i="106" l="1"/>
  <c r="D1328" i="106" s="1"/>
  <c r="K365" i="29"/>
  <c r="K16" i="4" s="1"/>
  <c r="B1381" i="106"/>
  <c r="D1381" i="106" s="1"/>
  <c r="J16" i="4"/>
  <c r="B6226" i="106" s="1"/>
  <c r="D6226" i="106" s="1"/>
  <c r="L114" i="29"/>
  <c r="G6" i="4"/>
  <c r="B2604" i="106" s="1"/>
  <c r="D2604" i="106" s="1"/>
  <c r="F41" i="108"/>
  <c r="G43" i="108" s="1"/>
  <c r="B1365" i="106"/>
  <c r="D1365" i="106" s="1"/>
  <c r="F65" i="34"/>
  <c r="L16" i="11"/>
  <c r="B2061" i="106" s="1"/>
  <c r="D2061" i="106"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2912" i="106"/>
  <c r="D2912" i="106" s="1"/>
  <c r="I41" i="3"/>
  <c r="B3567" i="106"/>
  <c r="D3567" i="106" s="1"/>
  <c r="K41" i="3"/>
  <c r="B6216" i="106"/>
  <c r="D6216" i="106" s="1"/>
  <c r="D51" i="36"/>
  <c r="B212" i="106"/>
  <c r="D212" i="106" s="1"/>
  <c r="H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D52" i="36"/>
  <c r="B3568" i="106"/>
  <c r="D3568" i="106" s="1"/>
  <c r="D50" i="36"/>
  <c r="B2913" i="106"/>
  <c r="D2913" i="106" s="1"/>
  <c r="B124" i="106"/>
  <c r="D124" i="106" s="1"/>
  <c r="D45" i="36"/>
  <c r="B189" i="106"/>
  <c r="D189" i="106" s="1"/>
  <c r="G41" i="3"/>
  <c r="B170" i="106"/>
  <c r="D170" i="106" s="1"/>
  <c r="F41" i="3"/>
  <c r="J16" i="37"/>
  <c r="B4269" i="106" s="1"/>
  <c r="D4269" i="106" s="1"/>
  <c r="D76" i="36"/>
  <c r="B92" i="106"/>
  <c r="D92" i="106" s="1"/>
  <c r="C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190" i="106"/>
  <c r="D190" i="106" s="1"/>
  <c r="D48" i="36"/>
  <c r="B141" i="106"/>
  <c r="D141" i="106" s="1"/>
  <c r="D46" i="36"/>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<sst xmlns="http://schemas.openxmlformats.org/spreadsheetml/2006/main" count="5290" uniqueCount="2162">
  <si>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</si>
  <si>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</si>
  <si>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</si>
  <si>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</si>
  <si>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</si>
  <si>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</si>
  <si>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</si>
  <si>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</si>
  <si>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</si>
  <si>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</si>
  <si>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</si>
  <si>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</si>
  <si>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</si>
  <si>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</si>
  <si>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</si>
  <si>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</si>
  <si>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</si>
  <si>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</si>
  <si>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</si>
  <si>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</si>
  <si>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</si>
  <si>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</si>
  <si>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</si>
  <si>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</si>
  <si>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</si>
  <si>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</si>
  <si>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</si>
  <si>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</si>
  <si>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</si>
  <si>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</si>
  <si>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</si>
  <si>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</si>
  <si>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</si>
  <si>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</si>
  <si>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</si>
  <si>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</si>
  <si>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</si>
  <si>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</si>
  <si>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</si>
  <si>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</si>
  <si>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</si>
  <si>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</si>
  <si>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</si>
  <si>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</si>
  <si>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</si>
  <si>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</si>
  <si>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</si>
  <si>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</si>
  <si>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</si>
  <si>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</si>
  <si>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</si>
  <si>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</si>
  <si>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</si>
  <si>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</si>
  <si>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</si>
  <si>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</si>
  <si>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</si>
  <si>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</si>
  <si>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</si>
  <si>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</si>
  <si>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</si>
  <si>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</si>
  <si>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</si>
  <si>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</si>
  <si>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</si>
  <si>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</si>
  <si>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</si>
  <si>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</si>
  <si>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</si>
  <si>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</si>
  <si>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</si>
  <si>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</si>
  <si>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</si>
  <si>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</si>
  <si>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</si>
  <si>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</si>
  <si>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</si>
  <si>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</si>
  <si>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</si>
  <si>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</si>
  <si>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</si>
  <si>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</si>
  <si>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</si>
  <si>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</si>
  <si>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</si>
  <si>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</si>
  <si>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</si>
  <si>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</si>
  <si>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</si>
  <si>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</si>
  <si>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</si>
  <si>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</si>
  <si>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</si>
  <si>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</si>
  <si>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</si>
  <si>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</si>
  <si>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</si>
  <si>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</si>
  <si>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</si>
  <si>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</si>
  <si>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</si>
  <si>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</si>
  <si>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</si>
  <si>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</si>
  <si>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</si>
  <si>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</si>
  <si>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</si>
  <si>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</si>
  <si>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</si>
  <si>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</si>
  <si>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</si>
  <si>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</si>
  <si>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</si>
  <si>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</si>
  <si>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</si>
  <si>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</si>
  <si>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</si>
  <si>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</si>
  <si>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</si>
  <si>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</si>
  <si>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</si>
  <si>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</si>
  <si>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</si>
  <si>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</si>
  <si>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</si>
  <si>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</si>
  <si>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</si>
  <si>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</si>
  <si>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</si>
  <si>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</si>
  <si>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</si>
  <si>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</si>
  <si>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</si>
  <si>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</si>
  <si>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</si>
  <si>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</si>
  <si>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</si>
  <si>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</si>
  <si>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</si>
  <si>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</si>
  <si>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</si>
  <si>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</si>
  <si>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</si>
  <si>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</si>
  <si>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</si>
  <si>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</si>
  <si>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</si>
  <si>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</si>
  <si>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</si>
  <si>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</si>
  <si>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</si>
  <si>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</si>
  <si>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</si>
  <si>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</si>
  <si>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</si>
  <si>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</si>
  <si>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</si>
  <si>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</si>
  <si>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</si>
  <si>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</si>
  <si>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</si>
  <si>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</si>
  <si>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</si>
  <si>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</si>
  <si>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</si>
  <si>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</si>
  <si>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</si>
  <si>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</si>
  <si>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</si>
  <si>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</si>
  <si>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</si>
  <si>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</si>
  <si>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</si>
  <si>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</si>
  <si>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</si>
  <si>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</si>
  <si>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</si>
  <si>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</si>
  <si>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</si>
  <si>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</si>
  <si>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</si>
  <si>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</si>
  <si>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</si>
  <si>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</si>
  <si>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</si>
  <si>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</si>
  <si>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</si>
  <si>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</si>
  <si>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</si>
  <si>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</si>
  <si>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</si>
  <si>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</si>
  <si>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</si>
  <si>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</si>
  <si>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</si>
  <si>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</si>
  <si>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</si>
  <si>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</si>
  <si>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</si>
  <si>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</si>
  <si>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</si>
  <si>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</si>
  <si>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</si>
  <si>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</si>
  <si>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</si>
  <si>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</si>
  <si>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</si>
  <si>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</si>
  <si>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</si>
  <si>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</si>
  <si>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</si>
  <si>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</si>
  <si>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</si>
  <si>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</si>
  <si>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</si>
  <si>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</si>
  <si>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</si>
  <si>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</si>
  <si>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</si>
  <si>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</si>
  <si>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</si>
  <si>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</si>
  <si>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</si>
  <si>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</si>
  <si>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</si>
  <si>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</si>
  <si>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</si>
  <si>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</si>
  <si>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</si>
  <si>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</si>
  <si>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</si>
  <si>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</si>
  <si>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</si>
  <si>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</si>
  <si>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</si>
  <si>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</si>
  <si>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</si>
  <si>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</si>
  <si>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</si>
  <si>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</si>
  <si>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</si>
  <si>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</si>
  <si>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</si>
  <si>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</si>
  <si>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</si>
  <si>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</si>
  <si>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</si>
  <si>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</si>
  <si>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</si>
  <si>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</si>
  <si>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</si>
  <si>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</si>
  <si>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</si>
  <si>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</si>
  <si>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</si>
  <si>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</si>
  <si>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</si>
  <si>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</si>
  <si>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</si>
  <si>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</si>
  <si>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</si>
  <si>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</si>
  <si>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</si>
  <si>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</si>
  <si>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</si>
  <si>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</si>
  <si>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</si>
  <si>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</si>
  <si>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</si>
  <si>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</si>
  <si>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</si>
  <si>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</si>
  <si>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</si>
  <si>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</si>
  <si>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</si>
  <si>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</si>
  <si>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</si>
  <si>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</si>
  <si>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</si>
  <si>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</si>
  <si>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</si>
  <si>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</si>
  <si>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</si>
  <si>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</si>
  <si>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</si>
  <si>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</si>
  <si>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</si>
  <si>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</si>
  <si>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</si>
  <si>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</si>
  <si>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</si>
  <si>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</si>
  <si>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</si>
  <si>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</si>
  <si>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</si>
  <si>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</si>
  <si>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</si>
  <si>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</si>
  <si>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</si>
  <si>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</si>
  <si>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</si>
  <si>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</si>
  <si>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</si>
  <si>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</si>
  <si>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</si>
  <si>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</si>
  <si>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</si>
  <si>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</si>
  <si>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</si>
  <si>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</si>
  <si>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</si>
  <si>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</si>
  <si>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</si>
  <si>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</si>
  <si>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</si>
  <si>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</si>
  <si>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</si>
  <si>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</si>
  <si>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</si>
  <si>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</si>
  <si>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</si>
  <si>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</si>
  <si>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</si>
  <si>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</si>
  <si>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</si>
  <si>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</si>
  <si>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</si>
  <si>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</si>
  <si>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</si>
  <si>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</si>
  <si>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</si>
  <si>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</si>
  <si>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</si>
  <si>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</si>
  <si>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</si>
  <si>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</si>
  <si>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</si>
  <si>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</si>
  <si>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</si>
  <si>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</si>
  <si>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</si>
  <si>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</si>
  <si>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</si>
  <si>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</si>
  <si>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</si>
  <si>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</si>
  <si>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</si>
  <si>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</si>
  <si>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</si>
  <si>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</si>
  <si>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</si>
  <si>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</si>
  <si>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</si>
  <si>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</si>
  <si>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</si>
  <si>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</si>
  <si>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</si>
  <si>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</si>
  <si>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</si>
  <si>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</si>
  <si>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</si>
  <si>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</si>
  <si>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</si>
  <si>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</si>
  <si>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</si>
  <si>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</si>
  <si>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</si>
  <si>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</si>
  <si>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</si>
  <si>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</si>
  <si>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</si>
  <si>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</si>
  <si>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</si>
  <si>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</si>
  <si>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</si>
  <si>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</si>
  <si>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</si>
  <si>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</si>
  <si>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</si>
  <si>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</si>
  <si>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</si>
  <si>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</si>
  <si>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</si>
  <si>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</si>
  <si>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</si>
  <si>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</si>
  <si>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</si>
  <si>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</si>
  <si>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</si>
  <si>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</si>
  <si>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</si>
  <si>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</si>
  <si>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</si>
  <si>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</si>
  <si>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</si>
  <si>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</si>
  <si>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</si>
  <si>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</si>
  <si>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</si>
  <si>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</si>
  <si>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</si>
  <si>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</si>
  <si>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</si>
  <si>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</si>
  <si>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</si>
  <si>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</si>
  <si>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</si>
  <si>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</si>
  <si>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</si>
  <si>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</si>
  <si>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</si>
  <si>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</si>
  <si>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</si>
  <si>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</si>
  <si>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</si>
  <si>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</si>
  <si>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</si>
  <si>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</si>
  <si>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</si>
  <si>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</si>
  <si>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</si>
  <si>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</si>
  <si>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</si>
  <si>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</si>
  <si>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</si>
  <si>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</si>
  <si>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</si>
  <si>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</si>
  <si>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</si>
  <si>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</si>
  <si>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</si>
  <si>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</si>
  <si>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</si>
  <si>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</si>
  <si>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</si>
  <si>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</si>
  <si>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</si>
  <si>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</si>
  <si>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</si>
  <si>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</si>
  <si>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</si>
  <si>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</si>
  <si>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</si>
  <si>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</si>
  <si>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</si>
  <si>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</si>
  <si>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</si>
  <si>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</si>
  <si>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</si>
  <si>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</si>
  <si>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</si>
  <si>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</si>
  <si>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</si>
  <si>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</si>
  <si>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</si>
  <si>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</si>
  <si>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</si>
  <si>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</si>
  <si>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</si>
  <si>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</si>
  <si>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</si>
  <si>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</si>
  <si>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</si>
  <si>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</si>
  <si>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</si>
  <si>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</si>
  <si>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</si>
  <si>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</si>
  <si>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</si>
  <si>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</si>
  <si>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</si>
  <si>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</si>
  <si>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</si>
  <si>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</si>
  <si>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</si>
  <si>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</si>
  <si>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</si>
  <si>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</si>
  <si>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</si>
  <si>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</si>
  <si>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</si>
  <si>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</si>
  <si>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</si>
  <si>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</si>
  <si>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</si>
  <si>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</si>
  <si>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</si>
  <si>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</si>
  <si>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</si>
  <si>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</si>
  <si>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</si>
  <si>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</si>
  <si>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</si>
  <si>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</si>
  <si>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</si>
  <si>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</si>
  <si>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</si>
  <si>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</si>
  <si>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</si>
  <si>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</si>
  <si>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</si>
  <si>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</si>
  <si>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</si>
  <si>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</si>
  <si>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</si>
  <si>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</si>
  <si>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</si>
  <si>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</si>
  <si>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</si>
  <si>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</si>
  <si>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</si>
  <si>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</si>
  <si>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</si>
  <si>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</si>
  <si>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</si>
  <si>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</si>
  <si>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</si>
  <si>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</si>
  <si>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</si>
  <si>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</si>
  <si>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</si>
  <si>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</si>
  <si>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</si>
  <si>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</si>
  <si>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</si>
  <si>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</si>
  <si>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</si>
  <si>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</si>
  <si>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</si>
  <si>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</si>
  <si>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</si>
  <si>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</si>
  <si>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</si>
  <si>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</si>
  <si>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</si>
  <si>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</si>
  <si>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</si>
  <si>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</si>
  <si>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</si>
  <si>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</si>
  <si>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</si>
  <si>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</si>
  <si>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</si>
  <si>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</si>
  <si>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</si>
  <si>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</si>
  <si>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</si>
  <si>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</si>
  <si>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</si>
  <si>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</si>
  <si>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</si>
  <si>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</si>
  <si>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</si>
  <si>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</si>
  <si>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</si>
  <si>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</si>
  <si>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</si>
  <si>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</si>
  <si>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</si>
  <si>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</si>
  <si>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</si>
  <si>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</si>
  <si>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</si>
  <si>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</si>
  <si>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</si>
  <si>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</si>
  <si>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</si>
  <si>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</si>
  <si>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</si>
  <si>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</si>
  <si>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</si>
  <si>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</si>
  <si>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</si>
  <si>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</si>
  <si>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</si>
  <si>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</si>
  <si>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</si>
  <si>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</si>
  <si>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</si>
  <si>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</si>
  <si>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</si>
  <si>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</si>
  <si>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</si>
  <si>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</si>
  <si>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</si>
  <si>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</si>
  <si>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</si>
  <si>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</si>
  <si>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</si>
  <si>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</si>
  <si>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</si>
  <si>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</si>
  <si>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</si>
  <si>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</si>
  <si>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</si>
  <si>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</si>
  <si>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</si>
  <si>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</si>
  <si>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</si>
  <si>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</si>
  <si>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</si>
  <si>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</si>
  <si>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</si>
  <si>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</si>
  <si>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</si>
  <si>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</si>
  <si>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</si>
  <si>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</si>
  <si>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</si>
  <si>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</si>
  <si>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</si>
  <si>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</si>
  <si>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</si>
  <si>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</si>
  <si>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</si>
  <si>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</si>
  <si>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</si>
  <si>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</si>
  <si>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</si>
  <si>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</si>
  <si>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</si>
  <si>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</si>
  <si>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</si>
  <si>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</si>
  <si>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</si>
  <si>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</si>
  <si>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</si>
  <si>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</si>
  <si>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</si>
  <si>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</si>
  <si>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</si>
  <si>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</si>
  <si>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</si>
  <si>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</si>
  <si>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</si>
  <si>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</si>
  <si>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</si>
  <si>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</si>
  <si>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</si>
  <si>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</si>
  <si>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</si>
  <si>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</si>
  <si>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</si>
  <si>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</si>
  <si>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</si>
  <si>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</si>
  <si>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</si>
  <si>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</si>
  <si>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</si>
  <si>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</si>
  <si>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</si>
  <si>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</si>
  <si>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</si>
  <si>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</si>
  <si>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</si>
  <si>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</si>
  <si>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</si>
  <si>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</si>
  <si>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</si>
  <si>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</si>
  <si>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</si>
  <si>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</si>
  <si>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</si>
  <si>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</si>
  <si>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</si>
  <si>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</si>
  <si>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</si>
  <si>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</si>
  <si>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</si>
  <si>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</si>
  <si>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</si>
  <si>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</si>
  <si>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</si>
  <si>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</si>
  <si>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</si>
  <si>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</si>
  <si>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</si>
  <si>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</si>
  <si>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</si>
  <si>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</si>
  <si>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</si>
  <si>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</si>
  <si>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</si>
  <si>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</si>
  <si>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</si>
  <si>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</si>
  <si>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</si>
  <si>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</si>
  <si>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</si>
  <si>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</si>
  <si>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</si>
  <si>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</si>
  <si>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</si>
  <si>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</si>
  <si>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</si>
  <si>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</si>
  <si>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</si>
  <si>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</si>
  <si>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</si>
  <si>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</si>
  <si>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</si>
  <si>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</si>
  <si>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</si>
  <si>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</si>
  <si>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</si>
  <si>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</si>
  <si>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</si>
  <si>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</si>
  <si>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</si>
  <si>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</si>
  <si>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</si>
  <si>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</si>
  <si>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</si>
  <si>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</si>
  <si>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</si>
  <si>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</si>
  <si>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</si>
  <si>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</si>
  <si>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</si>
  <si>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</si>
  <si>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</si>
  <si>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</si>
  <si>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</si>
  <si>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</si>
  <si>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</si>
  <si>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</si>
  <si>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</si>
  <si>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</si>
  <si>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</si>
  <si>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</si>
  <si>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</si>
  <si>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</si>
  <si>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</si>
  <si>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</si>
  <si>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</si>
  <si>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</si>
  <si>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</si>
  <si>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</si>
  <si>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</si>
  <si>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</si>
  <si>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</si>
  <si>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</si>
  <si>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</si>
  <si>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</si>
  <si>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</si>
  <si>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</si>
  <si>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</si>
  <si>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</si>
  <si>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</si>
  <si>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</si>
  <si>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</si>
  <si>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</si>
  <si>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</si>
  <si>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</si>
  <si>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</si>
  <si>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</si>
  <si>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</si>
  <si>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</si>
  <si>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</si>
  <si>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</si>
  <si>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</si>
  <si>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</si>
  <si>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</si>
  <si>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</si>
  <si>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</si>
  <si>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</si>
  <si>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</si>
  <si>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</si>
  <si>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</si>
  <si>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</si>
  <si>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</si>
  <si>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</si>
  <si>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</si>
  <si>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</si>
  <si>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</si>
  <si>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</si>
  <si>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</si>
  <si>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</si>
  <si>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</si>
  <si>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</si>
  <si>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</si>
  <si>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</si>
  <si>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</si>
  <si>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</si>
  <si>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</si>
  <si>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</si>
  <si>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</si>
  <si>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</si>
  <si>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</si>
  <si>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</si>
  <si>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</si>
  <si>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</si>
  <si>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</si>
  <si>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</si>
  <si>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</si>
  <si>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</si>
  <si>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</si>
  <si>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</si>
  <si>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</si>
  <si>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</si>
  <si>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</si>
  <si>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</si>
  <si>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</si>
  <si>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</si>
  <si>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</si>
  <si>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</si>
  <si>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</si>
  <si>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</si>
  <si>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</si>
  <si>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</si>
  <si>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</si>
  <si>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</si>
  <si>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</si>
  <si>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</si>
  <si>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</si>
  <si>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</si>
  <si>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</si>
  <si>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</si>
  <si>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</si>
  <si>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</si>
  <si>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</si>
  <si>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</si>
  <si>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</si>
  <si>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</si>
  <si>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</si>
  <si>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</si>
  <si>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</si>
  <si>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</si>
  <si>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</si>
  <si>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</si>
  <si>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</si>
  <si>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</si>
  <si>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</si>
  <si>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</si>
  <si>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</si>
  <si>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</si>
  <si>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</si>
  <si>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</si>
  <si>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</si>
  <si>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</si>
  <si>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</si>
  <si>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</si>
  <si>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</si>
  <si>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</si>
  <si>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</si>
  <si>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</si>
  <si>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</si>
  <si>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</si>
  <si>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</si>
  <si>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</si>
  <si>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</si>
  <si>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</si>
  <si>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</si>
  <si>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</si>
  <si>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</si>
  <si>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</si>
  <si>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</si>
  <si>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</si>
  <si>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</si>
  <si>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</si>
  <si>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</si>
  <si>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</si>
  <si>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</si>
  <si>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</si>
  <si>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</si>
  <si>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</si>
  <si>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</si>
  <si>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</si>
  <si>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</si>
  <si>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</si>
  <si>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</si>
  <si>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</si>
  <si>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</si>
  <si>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</si>
  <si>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</si>
  <si>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</si>
  <si>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</si>
  <si>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</si>
  <si>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</si>
  <si>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</si>
  <si>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</si>
  <si>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</si>
  <si>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</si>
  <si>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</si>
  <si>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</si>
  <si>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</si>
  <si>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</si>
  <si>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</si>
  <si>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</si>
  <si>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</si>
  <si>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</si>
  <si>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</si>
  <si>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</si>
  <si>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</si>
  <si>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</si>
  <si>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</si>
  <si>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</si>
  <si>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</si>
  <si>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</si>
  <si>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</si>
  <si>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</si>
  <si>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</si>
  <si>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</si>
  <si>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</si>
  <si>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</si>
  <si>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</si>
  <si>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</si>
  <si>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</si>
  <si>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</si>
  <si>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</si>
  <si>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</si>
  <si>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</si>
  <si>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</si>
  <si>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</si>
  <si>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</si>
  <si>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</si>
  <si>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</si>
  <si>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</si>
  <si>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</si>
  <si>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</si>
  <si>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</si>
  <si>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</si>
  <si>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</si>
  <si>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</si>
  <si>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</si>
  <si>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</si>
  <si>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</si>
  <si>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</si>
  <si>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</si>
  <si>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</si>
  <si>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</si>
  <si>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</si>
  <si>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</si>
  <si>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</si>
  <si>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</si>
  <si>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</si>
  <si>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</si>
  <si>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</si>
  <si>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</si>
  <si>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</si>
  <si>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</si>
  <si>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</si>
  <si>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</si>
  <si>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</si>
  <si>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</si>
  <si>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</si>
  <si>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</si>
  <si>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</si>
  <si>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</si>
  <si>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</si>
  <si>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</si>
  <si>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</si>
  <si>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</si>
  <si>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</si>
  <si>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</si>
  <si>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</si>
  <si>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</si>
  <si>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</si>
  <si>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</si>
  <si>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</si>
  <si>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</si>
  <si>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</si>
  <si>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</si>
  <si>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</si>
  <si>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</si>
  <si>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</si>
  <si>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</si>
  <si>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</si>
  <si>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</si>
  <si>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</si>
  <si>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</si>
  <si>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</si>
  <si>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</si>
  <si>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</si>
  <si>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</si>
  <si>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</si>
  <si>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</si>
  <si>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</si>
  <si>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</si>
  <si>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</si>
  <si>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</si>
  <si>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</si>
  <si>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</si>
  <si>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</si>
  <si>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</si>
  <si>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</si>
  <si>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</si>
  <si>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</si>
  <si>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</si>
  <si>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</si>
  <si>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</si>
  <si>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</si>
  <si>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</si>
  <si>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</si>
  <si>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</si>
  <si>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</si>
  <si>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</si>
  <si>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</si>
  <si>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</si>
  <si>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</si>
  <si>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</si>
  <si>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</si>
  <si>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</si>
  <si>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</si>
  <si>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</si>
  <si>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</si>
  <si>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</si>
  <si>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</si>
  <si>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</si>
  <si>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</si>
  <si>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</si>
  <si>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</si>
  <si>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</si>
  <si>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</si>
  <si>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</si>
  <si>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</si>
  <si>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</si>
  <si>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</si>
  <si>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</si>
  <si>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</si>
  <si>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</si>
  <si>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</si>
  <si>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</si>
  <si>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</si>
  <si>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</si>
  <si>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</si>
  <si>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</si>
  <si>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</si>
  <si>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</si>
  <si>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</si>
  <si>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</si>
  <si>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</si>
  <si>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</si>
  <si>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</si>
  <si>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</si>
  <si>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</si>
  <si>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</si>
  <si>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</si>
  <si>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</si>
  <si>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</si>
  <si>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</si>
  <si>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</si>
  <si>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</si>
  <si>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</si>
  <si>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</si>
  <si>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</si>
  <si>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</si>
  <si>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</si>
  <si>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</si>
  <si>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</si>
  <si>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</si>
  <si>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</si>
  <si>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</si>
  <si>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</si>
  <si>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</si>
  <si>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</si>
  <si>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</si>
  <si>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</si>
  <si>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</si>
  <si>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</si>
  <si>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</si>
  <si>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</si>
  <si>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</si>
  <si>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</si>
  <si>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</si>
  <si>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</si>
  <si>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</si>
  <si>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</si>
  <si>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</si>
  <si>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</si>
  <si>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</si>
  <si>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</si>
  <si>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</si>
  <si>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</si>
  <si>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</si>
  <si>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</si>
  <si>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</si>
  <si>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</si>
  <si>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</si>
  <si>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</si>
  <si>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</si>
  <si>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</si>
  <si>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</si>
  <si>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</si>
  <si>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</si>
  <si>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</si>
  <si>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</si>
  <si>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</si>
  <si>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</si>
  <si>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</si>
  <si>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</si>
  <si>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</si>
  <si>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</si>
  <si>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</si>
  <si>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</si>
  <si>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</si>
  <si>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</si>
  <si>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</si>
  <si>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</si>
  <si>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</si>
  <si>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</si>
  <si>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</si>
  <si>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</si>
  <si>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</si>
  <si>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</si>
  <si>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</si>
  <si>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</si>
  <si>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</si>
  <si>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</si>
  <si>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</si>
  <si>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</si>
  <si>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</si>
  <si>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</si>
  <si>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</si>
  <si>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</si>
  <si>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</si>
  <si>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</si>
  <si>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</si>
  <si>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</si>
  <si>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</si>
  <si>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</si>
  <si>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</si>
  <si>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</si>
  <si>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</si>
  <si>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</si>
  <si>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</si>
  <si>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</si>
  <si>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</si>
  <si>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</si>
  <si>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</si>
  <si>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</si>
  <si>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</si>
  <si>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</si>
  <si>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</si>
  <si>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</si>
  <si>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</si>
  <si>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</si>
  <si>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</si>
  <si>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</si>
  <si>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</si>
  <si>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</si>
  <si>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</si>
  <si>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</si>
  <si>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</si>
  <si>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</si>
  <si>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</si>
  <si>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</si>
  <si>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</si>
  <si>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</si>
  <si>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</si>
  <si>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</si>
  <si>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</si>
  <si>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</si>
  <si>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</si>
  <si>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</si>
  <si>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</si>
  <si>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</si>
  <si>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</si>
  <si>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</si>
  <si>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</si>
  <si>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</si>
  <si>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</si>
  <si>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</si>
  <si>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</si>
  <si>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</si>
  <si>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</si>
  <si>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</si>
  <si>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</si>
  <si>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</si>
  <si>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</si>
  <si>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</si>
  <si>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</si>
  <si>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</si>
  <si>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</si>
  <si>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</si>
  <si>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</si>
  <si>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</si>
  <si>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</si>
  <si>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</si>
  <si>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</si>
  <si>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</si>
  <si>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</si>
  <si>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</si>
  <si>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</si>
  <si>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</si>
  <si>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</si>
  <si>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</si>
  <si>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</si>
  <si>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</si>
  <si>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</si>
  <si>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</si>
  <si>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</si>
  <si>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</si>
  <si>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</si>
  <si>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</si>
  <si>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</si>
  <si>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</si>
  <si>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</si>
  <si>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</si>
  <si>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</si>
  <si>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</si>
  <si>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</si>
  <si>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</si>
  <si>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</si>
  <si>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</si>
  <si>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</si>
  <si>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</si>
  <si>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</si>
  <si>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</si>
  <si>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</si>
  <si>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</si>
  <si>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</si>
  <si>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</si>
  <si>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</si>
  <si>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</si>
  <si>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</si>
  <si>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</si>
  <si>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</si>
  <si>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</si>
  <si>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</si>
  <si>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</si>
  <si>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</si>
  <si>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</si>
  <si>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</si>
  <si>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</si>
  <si>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</si>
  <si>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</si>
  <si>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</si>
  <si>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</si>
  <si>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</si>
  <si>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</si>
  <si>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</si>
  <si>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</si>
  <si>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</si>
  <si>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</si>
  <si>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</si>
  <si>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</si>
  <si>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</si>
  <si>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</si>
  <si>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</si>
  <si>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</si>
  <si>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</si>
  <si>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</si>
  <si>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</si>
  <si>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</si>
  <si>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</si>
  <si>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</si>
  <si>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</si>
  <si>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</si>
  <si>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</si>
  <si>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</si>
  <si>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</si>
  <si>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</si>
  <si>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</si>
  <si>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</si>
  <si>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</si>
  <si>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</si>
  <si>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</si>
  <si>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</si>
  <si>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</si>
  <si>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</si>
  <si>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</si>
  <si>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</si>
  <si>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</si>
  <si>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</si>
  <si>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</si>
  <si>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</si>
  <si>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</si>
  <si>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</si>
  <si>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</si>
  <si>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</si>
  <si>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</si>
  <si>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</si>
  <si>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</si>
  <si>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</si>
  <si>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</si>
  <si>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</si>
  <si>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</si>
  <si>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</si>
  <si>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</si>
  <si>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</si>
  <si>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</si>
  <si>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</si>
  <si>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</si>
  <si>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</si>
  <si>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</si>
  <si>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</si>
  <si>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</si>
  <si>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</si>
  <si>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</si>
  <si>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</si>
  <si>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</si>
  <si>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</si>
  <si>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</si>
  <si>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</si>
  <si>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</si>
  <si>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</si>
  <si>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</si>
  <si>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</si>
  <si>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</si>
  <si>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</si>
  <si>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</si>
  <si>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</si>
  <si>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</si>
  <si>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</si>
  <si>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</si>
  <si>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</si>
  <si>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</si>
  <si>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</si>
  <si>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</si>
  <si>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</si>
  <si>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</si>
  <si>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</si>
  <si>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</si>
  <si>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</si>
  <si>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</si>
  <si>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</si>
  <si>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</si>
  <si>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</si>
  <si>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</si>
  <si>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</si>
  <si>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</si>
  <si>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</si>
  <si>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</si>
  <si>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</si>
  <si>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</si>
  <si>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</si>
  <si>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</si>
  <si>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</si>
  <si>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</si>
  <si>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</si>
  <si>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</si>
  <si>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</si>
  <si>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</si>
  <si>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</si>
  <si>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</si>
  <si>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</si>
  <si>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</si>
  <si>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</si>
  <si>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</si>
  <si>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</si>
  <si>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</si>
  <si>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</si>
  <si>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</si>
  <si>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</si>
  <si>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</si>
  <si>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</si>
  <si>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</si>
  <si>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</si>
  <si>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</si>
  <si>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</si>
  <si>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</si>
  <si>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</si>
  <si>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</si>
  <si>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</si>
  <si>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</si>
  <si>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</si>
  <si>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</si>
  <si>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</si>
  <si>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</si>
  <si>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</si>
  <si>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</si>
  <si>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</si>
  <si>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</si>
  <si>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</si>
  <si>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</si>
  <si>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</si>
  <si>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</si>
  <si>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</si>
  <si>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</si>
  <si>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</si>
  <si>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</si>
  <si>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</si>
  <si>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</si>
  <si>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</si>
  <si>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</si>
  <si>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</si>
  <si>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</si>
  <si>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</si>
  <si>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</si>
  <si>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</si>
  <si>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</si>
  <si>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</si>
  <si>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</si>
  <si>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</si>
  <si>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</si>
  <si>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</si>
  <si>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</si>
  <si>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</si>
  <si>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</si>
  <si>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</si>
  <si>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</si>
  <si>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</si>
  <si>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</si>
  <si>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</si>
  <si>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</si>
  <si>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</si>
  <si>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</si>
  <si>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</si>
  <si>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</si>
  <si>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</si>
  <si>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</si>
  <si>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</si>
  <si>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</si>
  <si>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</si>
  <si>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</si>
  <si>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</si>
  <si>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</si>
  <si>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</si>
  <si>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</si>
  <si>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</si>
  <si>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</si>
  <si>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</si>
  <si>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</si>
  <si>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</si>
  <si>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</si>
  <si>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</si>
  <si>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</si>
  <si>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</si>
  <si>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</si>
  <si>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</si>
  <si>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</si>
  <si>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</si>
  <si>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</si>
  <si>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</si>
  <si>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</si>
  <si>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</si>
  <si>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</si>
  <si>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</si>
  <si>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</si>
  <si>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</si>
  <si>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</si>
  <si>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</si>
  <si>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</si>
  <si>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</si>
  <si>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</si>
  <si>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</si>
  <si>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</si>
  <si>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</si>
  <si>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</si>
  <si>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</si>
  <si>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</si>
  <si>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</si>
  <si>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</si>
  <si>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</si>
  <si>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</si>
  <si>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</si>
  <si>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</si>
  <si>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</si>
  <si>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</si>
  <si>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</si>
  <si>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</si>
  <si>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</si>
  <si>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</si>
  <si>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</si>
  <si>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</si>
  <si>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</si>
  <si>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</si>
  <si>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</si>
  <si>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</si>
  <si>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</si>
  <si>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</si>
  <si>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</si>
  <si>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</si>
  <si>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</si>
  <si>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</si>
  <si>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</si>
  <si>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</si>
  <si>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</si>
  <si>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</si>
  <si>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</si>
  <si>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</si>
  <si>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</si>
  <si>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</si>
  <si>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</si>
  <si>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</si>
  <si>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</si>
  <si>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</si>
  <si>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</si>
  <si>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</si>
  <si>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</si>
  <si>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</si>
  <si>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</si>
  <si>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</si>
  <si>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</si>
  <si>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</si>
  <si>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</si>
  <si>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</si>
  <si>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</si>
  <si>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</si>
  <si>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</si>
  <si>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</si>
  <si>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</si>
  <si>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</si>
  <si>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</si>
  <si>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</si>
  <si>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</si>
  <si>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</si>
  <si>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</si>
  <si>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</si>
  <si>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</si>
  <si>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</si>
  <si>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</si>
  <si>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</si>
  <si>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</si>
  <si>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</si>
  <si>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</si>
  <si>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</si>
  <si>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</si>
  <si>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</si>
  <si>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</si>
  <si>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</si>
  <si>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</si>
  <si>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</si>
  <si>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</si>
  <si>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</si>
  <si>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</si>
  <si>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</si>
  <si>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</si>
  <si>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</si>
  <si>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</si>
  <si>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</si>
  <si>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</si>
  <si>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</si>
  <si>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</si>
  <si>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</si>
  <si>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</si>
  <si>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</si>
  <si>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</si>
  <si>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</si>
  <si>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</si>
  <si>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</si>
  <si>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</si>
  <si>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</si>
  <si>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</si>
  <si>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</si>
  <si>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</si>
  <si>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</si>
  <si>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</si>
  <si>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</si>
  <si>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</si>
  <si>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</si>
  <si>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</si>
  <si>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</si>
  <si>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</si>
  <si>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</si>
  <si>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</si>
  <si>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</si>
  <si>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</si>
  <si>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</si>
  <si>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</si>
  <si>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</si>
  <si>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</si>
  <si>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</si>
  <si>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</si>
  <si>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</si>
  <si>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</si>
  <si>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</si>
  <si>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</si>
  <si>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</si>
  <si>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</si>
  <si>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</si>
  <si>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</si>
  <si>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</si>
  <si>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</si>
  <si>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</si>
  <si>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</si>
  <si>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</si>
  <si>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</si>
  <si>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</si>
  <si>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</si>
  <si>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</si>
  <si>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</si>
  <si>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</si>
  <si>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</si>
  <si>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</si>
  <si>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</si>
  <si>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</si>
  <si>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</si>
  <si>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</si>
  <si>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</si>
  <si>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</si>
  <si>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</si>
  <si>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</si>
  <si>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</si>
  <si>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</si>
  <si>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</si>
  <si>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</si>
  <si>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</si>
  <si>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</si>
  <si>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</si>
  <si>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</si>
  <si>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</si>
  <si>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</si>
  <si>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</si>
  <si>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</si>
  <si>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</si>
  <si>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</si>
  <si>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</si>
  <si>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</si>
  <si>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</si>
  <si>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</si>
  <si>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</si>
  <si>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</si>
  <si>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</si>
  <si>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</si>
  <si>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</si>
  <si>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</si>
  <si>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</si>
  <si>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</si>
  <si>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</si>
  <si>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</si>
  <si>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</si>
  <si>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</si>
  <si>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</si>
  <si>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</si>
  <si>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</si>
  <si>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</si>
  <si>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</si>
  <si>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</si>
  <si>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</si>
  <si>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</si>
  <si>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</si>
  <si>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</si>
  <si>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</si>
  <si>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</si>
  <si>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</si>
  <si>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</si>
  <si>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</si>
  <si>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</si>
  <si>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</si>
  <si>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</si>
  <si>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</si>
  <si>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</si>
  <si>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</si>
  <si>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</si>
  <si>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</si>
  <si>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</si>
  <si>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</si>
  <si>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</si>
  <si>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</si>
  <si>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</si>
  <si>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</si>
  <si>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</si>
  <si>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</si>
  <si>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</si>
  <si>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</si>
  <si>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</si>
  <si>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</si>
  <si>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</si>
  <si>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</si>
  <si>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</si>
  <si>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</si>
  <si>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</si>
  <si>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</si>
  <si>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</si>
  <si>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</si>
  <si>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</si>
  <si>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</si>
  <si>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</si>
  <si>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</si>
  <si>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</si>
  <si>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</si>
  <si>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</si>
  <si>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</si>
  <si>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</si>
  <si>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</si>
  <si>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</si>
  <si>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</si>
  <si>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</si>
  <si>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</si>
  <si>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</si>
  <si>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</si>
  <si>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</si>
  <si>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</si>
  <si>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</si>
  <si>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</si>
  <si>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</si>
  <si>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</si>
  <si>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</si>
  <si>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</si>
  <si>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</si>
  <si>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</si>
  <si>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</si>
  <si>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</si>
  <si>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</si>
  <si>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</si>
  <si>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</si>
  <si>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</si>
  <si>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</si>
  <si>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</si>
  <si>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</si>
  <si>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</si>
  <si>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</si>
  <si>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</si>
  <si>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</si>
  <si>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</si>
  <si>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</si>
  <si>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</si>
  <si>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</si>
  <si>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</si>
  <si>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</si>
  <si>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</si>
  <si>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</si>
  <si>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</si>
  <si>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</si>
  <si>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</si>
  <si>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</si>
  <si>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</si>
  <si>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</si>
  <si>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</si>
  <si>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</si>
  <si>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</si>
  <si>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</si>
  <si>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</si>
  <si>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</si>
  <si>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</si>
  <si>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</si>
  <si>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</si>
  <si>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</si>
  <si>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</si>
  <si>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</si>
  <si>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</si>
  <si>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</si>
  <si>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</si>
  <si>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</si>
  <si>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</si>
  <si>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</si>
  <si>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</si>
  <si>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</si>
  <si>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</si>
  <si>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</si>
  <si>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</si>
  <si>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</si>
  <si>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</si>
  <si>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</si>
  <si>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</si>
  <si>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</si>
  <si>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</si>
  <si>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</si>
  <si>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</si>
  <si>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</si>
  <si>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</si>
  <si>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</si>
  <si>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</si>
  <si>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</si>
  <si>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</si>
  <si>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</si>
  <si>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</si>
  <si>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</si>
  <si>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</si>
  <si>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</si>
  <si>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</si>
  <si>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</si>
  <si>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</si>
  <si>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</si>
  <si>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</si>
  <si>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</si>
  <si>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</si>
  <si>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</si>
  <si>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</si>
  <si>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</si>
  <si>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</si>
  <si>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</si>
  <si>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</si>
  <si>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</si>
  <si>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</si>
  <si>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</si>
  <si>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</si>
  <si>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</si>
  <si>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</si>
  <si>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</si>
  <si>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</si>
  <si>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</si>
  <si>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</si>
  <si>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</si>
  <si>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</si>
  <si>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</si>
  <si>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</si>
  <si>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</si>
  <si>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</si>
  <si>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</si>
  <si>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</si>
  <si>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</si>
  <si>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</si>
  <si>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</si>
  <si>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</si>
  <si>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</si>
  <si>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</si>
  <si>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</si>
  <si>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</si>
  <si>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</si>
  <si>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</si>
  <si>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</si>
  <si>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</si>
  <si>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</si>
  <si>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</si>
  <si>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</si>
  <si>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</si>
  <si>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</si>
  <si>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</si>
  <si>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</si>
  <si>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</si>
  <si>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</si>
  <si>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</si>
  <si>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</si>
  <si>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</si>
  <si>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</si>
  <si>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</si>
  <si>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</si>
  <si>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</si>
  <si>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</si>
  <si>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</si>
  <si>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</si>
  <si>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</si>
  <si>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</si>
  <si>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</si>
  <si>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</si>
  <si>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</si>
  <si>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</si>
  <si>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</si>
  <si>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</si>
  <si>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</si>
  <si>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</si>
  <si>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</si>
  <si>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</si>
  <si>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</si>
  <si>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</si>
  <si>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</si>
  <si>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</si>
  <si>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</si>
  <si>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</si>
  <si>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</si>
  <si>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</si>
  <si>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</si>
  <si>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</si>
  <si>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</si>
  <si>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</si>
  <si>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</si>
  <si>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</si>
  <si>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</si>
  <si>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</si>
  <si>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</si>
  <si>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</si>
  <si>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</si>
  <si>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</si>
  <si>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</si>
  <si>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</si>
  <si>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</si>
  <si>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</si>
  <si>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</si>
  <si>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</si>
  <si>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</si>
  <si>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</si>
  <si>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</si>
  <si>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</si>
  <si>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</si>
  <si>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</si>
  <si>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</si>
  <si>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</si>
  <si>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</si>
  <si>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</si>
  <si>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</si>
  <si>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</si>
  <si>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</si>
  <si>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</si>
  <si>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</si>
  <si>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</si>
  <si>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</si>
  <si>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</si>
  <si>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</si>
  <si>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</si>
  <si>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</si>
  <si>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</si>
  <si>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</si>
  <si>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</si>
  <si>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</si>
  <si>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</si>
  <si>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</si>
  <si>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</si>
  <si>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</si>
  <si>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</si>
  <si>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</si>
  <si>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</si>
  <si>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</si>
  <si>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</si>
  <si>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</si>
  <si>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</si>
  <si>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</si>
  <si>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</si>
  <si>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</si>
  <si>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</si>
  <si>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</si>
  <si>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</si>
  <si>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</si>
  <si>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</si>
  <si>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</si>
  <si>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</si>
  <si>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</si>
  <si>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</si>
  <si>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</si>
  <si>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</si>
  <si>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</si>
  <si>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</si>
  <si>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</si>
  <si>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</si>
  <si>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</si>
  <si>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</si>
  <si>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</si>
  <si>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</si>
  <si>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</si>
  <si>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</si>
  <si>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</si>
  <si>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</si>
  <si>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</si>
  <si>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</si>
  <si>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</si>
  <si>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</si>
  <si>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</si>
  <si>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</si>
  <si>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</si>
  <si>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</si>
  <si>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</si>
  <si>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</si>
  <si>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</si>
  <si>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</si>
  <si>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</si>
  <si>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</si>
  <si>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</si>
  <si>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</si>
  <si>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</si>
  <si>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</si>
  <si>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</si>
  <si>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</si>
  <si>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</si>
  <si>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</si>
  <si>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</si>
  <si>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</si>
  <si>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</si>
  <si>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</si>
  <si>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</si>
  <si>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</si>
  <si>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</si>
  <si>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</si>
  <si>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</si>
  <si>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</si>
  <si>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</si>
  <si>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</si>
  <si>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</si>
  <si>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</si>
  <si>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</si>
  <si>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</si>
  <si>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</si>
  <si>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</si>
  <si>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</si>
  <si>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</si>
  <si>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</si>
  <si>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</si>
  <si>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</si>
  <si>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</si>
  <si>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</si>
  <si>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</si>
  <si>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</si>
  <si>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</si>
  <si>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</si>
  <si>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</si>
  <si>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</si>
  <si>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</si>
  <si>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</si>
  <si>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</si>
  <si>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</si>
  <si>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</si>
  <si>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</si>
  <si>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</si>
  <si>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</si>
  <si>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</si>
  <si>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</si>
  <si>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</si>
  <si>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</si>
  <si>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</si>
  <si>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</si>
  <si>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</si>
  <si>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</si>
  <si>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</si>
  <si>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</si>
  <si>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</si>
  <si>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</si>
  <si>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</si>
  <si>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</si>
  <si>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</si>
  <si>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</si>
  <si>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</si>
  <si>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</si>
  <si>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</si>
  <si>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</si>
  <si>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</si>
  <si>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</si>
  <si>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</si>
  <si>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</si>
  <si>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</si>
  <si>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</si>
  <si>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</si>
  <si>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</si>
  <si>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</si>
  <si>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</si>
  <si>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</si>
  <si>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</si>
  <si>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</si>
  <si>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</si>
  <si>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</si>
  <si>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</si>
  <si>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</si>
  <si>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</si>
  <si>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</si>
  <si>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</si>
  <si>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</si>
  <si>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</si>
  <si>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</si>
  <si>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</si>
  <si>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</si>
  <si>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</si>
  <si>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</si>
  <si>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</si>
  <si>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</si>
  <si>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</si>
  <si>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</si>
  <si>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</si>
  <si>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</si>
  <si>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</si>
  <si>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</si>
  <si>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</si>
  <si>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</si>
  <si>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</si>
  <si>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</si>
  <si>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</si>
  <si>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</si>
  <si>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</si>
  <si>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</si>
  <si>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</si>
  <si>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</si>
  <si>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</si>
  <si>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</si>
  <si>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</si>
  <si>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</si>
  <si>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</si>
  <si>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</si>
  <si>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</si>
  <si>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</si>
  <si>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</si>
  <si>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</si>
  <si>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</si>
  <si>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</si>
  <si>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</si>
  <si>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</si>
  <si>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</si>
  <si>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</si>
  <si>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</si>
  <si>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</si>
  <si>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</si>
  <si>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</si>
  <si>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</si>
  <si>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</si>
  <si>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</si>
  <si>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</si>
  <si>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Meister, Hilton, Chitwood &amp; Associates, Inc.</t>
  </si>
  <si>
    <t>Ron Hilton</t>
  </si>
  <si>
    <t>809 W. Detweiller Drive, Suite 806</t>
  </si>
  <si>
    <t>Peoria</t>
  </si>
  <si>
    <t>IL</t>
  </si>
  <si>
    <t>(309) 683-0441</t>
  </si>
  <si>
    <t>(309) 692-0492</t>
  </si>
  <si>
    <t>066-004769</t>
  </si>
  <si>
    <t>ron.hilton1@comcast.net</t>
  </si>
  <si>
    <t>x</t>
  </si>
  <si>
    <t>Knox and Warren</t>
  </si>
  <si>
    <t>311 East Main Street, Suite 632</t>
  </si>
  <si>
    <t>Galesburg</t>
  </si>
  <si>
    <t>zcrowl@kwsed.org</t>
  </si>
  <si>
    <t>(309) 351-7224</t>
  </si>
  <si>
    <t>(309) 343-3116</t>
  </si>
  <si>
    <t xml:space="preserve">2.  The District did not have the required amount of Treasurer's bond for the entire year, July 2018 through June 2019.                                                                                                                                                                                                                                                                                                                                                                                                                                                                    23. These financial statements were prepared in accordance with the regulatory provisions prescribed by the Illinois State Board of Education, which is a comprehensive basis of accounting other than generally accepted accounting principles.  </t>
  </si>
  <si>
    <t>Prairie State Insurance Cooperative</t>
  </si>
  <si>
    <t>A</t>
  </si>
  <si>
    <t>A. Knoxville #202, ROWVA #208, Williamsfield #210, Abingdon-Avon #276, Monmouth-Roseville #238, United #304</t>
  </si>
  <si>
    <t>US Department of Education:</t>
  </si>
  <si>
    <t xml:space="preserve">  Passed through the Illinois State Board of Education:</t>
  </si>
  <si>
    <t>Special Education Cluster:</t>
  </si>
  <si>
    <t>2018-4600</t>
  </si>
  <si>
    <t>2018-4620</t>
  </si>
  <si>
    <t>US Department of Health and Human Services:</t>
  </si>
  <si>
    <t xml:space="preserve">  Passed through the Illinois Department of Healthcare and Family Services:</t>
  </si>
  <si>
    <t xml:space="preserve">   Medicaid Administrative Outreach</t>
  </si>
  <si>
    <t>N/A</t>
  </si>
  <si>
    <t>Total expenditures of federal awards</t>
  </si>
  <si>
    <t>2019-4600</t>
  </si>
  <si>
    <r>
      <rPr>
        <sz val="9"/>
        <rFont val="Arial"/>
        <family val="2"/>
      </rPr>
      <t xml:space="preserve">PreSchool Flow-through </t>
    </r>
    <r>
      <rPr>
        <b/>
        <sz val="9"/>
        <rFont val="Arial"/>
        <family val="2"/>
      </rPr>
      <t xml:space="preserve"> (M)</t>
    </r>
  </si>
  <si>
    <r>
      <rPr>
        <sz val="9"/>
        <rFont val="Arial"/>
        <family val="2"/>
      </rPr>
      <t xml:space="preserve">IDEA Flow-through </t>
    </r>
    <r>
      <rPr>
        <b/>
        <sz val="9"/>
        <rFont val="Arial"/>
        <family val="2"/>
      </rPr>
      <t xml:space="preserve"> (M)</t>
    </r>
  </si>
  <si>
    <t>2019-4620</t>
  </si>
  <si>
    <t>Total Special Education Cluster</t>
  </si>
  <si>
    <r>
      <t xml:space="preserve">The accompanying Schedule of Expenditures of Federal Awards includes the federal grant activity of </t>
    </r>
    <r>
      <rPr>
        <b/>
        <sz val="9"/>
        <rFont val="Calibri"/>
        <family val="2"/>
        <scheme val="minor"/>
      </rPr>
      <t>Knox Warren Special Education District</t>
    </r>
    <r>
      <rPr>
        <sz val="9"/>
        <rFont val="Calibri"/>
        <family val="2"/>
        <scheme val="minor"/>
      </rPr>
      <t xml:space="preserve"> and is presented on the Accrual</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</si>
  <si>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None</t>
  </si>
  <si>
    <t>10-1000-300</t>
  </si>
  <si>
    <t>Page 11. Other Local Revenues (Acct 1999):  TRS refund $10,735, Insurance refund $20,282, Miscellaneous refunds $947</t>
  </si>
  <si>
    <t xml:space="preserve">Page 12. Other Restricted Revenue from State Sources (Acct 3999) - Case Services to Individuals - STEP </t>
  </si>
  <si>
    <t xml:space="preserve">                 Third Party Base Plus Performance grant $65,037</t>
  </si>
  <si>
    <t>Adverse - GAAP basis, Unmodified - regulatory basis</t>
  </si>
  <si>
    <t>Unmodified</t>
  </si>
  <si>
    <t>84.027, 84.173</t>
  </si>
  <si>
    <t>Special Education Cluster</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</si>
  <si>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</si>
  <si>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office personnel that is involved in the accounting function.  Therefore, the District does not have an adequate segregation of duties over accounting transactions as the employee is responsible for initiating and recording transactions in the general ledger as well as performing reconciliations.</t>
  </si>
  <si>
    <t>One employee is responsible for most aspects of the disbursement and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</si>
  <si>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</si>
  <si>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</si>
  <si>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Director’s and Executive Board's close oversight and review of accounting information on a regular basis is the best means of preventing or detecting errors or fraud.</t>
  </si>
  <si>
    <t>Due to the small size of the District, it is not practical to hire additional personnel solely for the purpose of achieving an ideal segregation of duties over the accounting function.  Some segregation of duties has occurred to the extent possible.</t>
  </si>
  <si>
    <t>The overall internal controls over the District's accounting system are not adequate to ensure that misstatements caused by error or fraud, in amounts that would be material to the financial statements, may occur and not be detected within a timely period by employees in the normal course of performing their assigned functions.</t>
  </si>
  <si>
    <t>Knox-Warren's former administrative agent withdrew from the Cooperative effective 6/30/2017.  The former administrative agent performed all accounting, human resources, reconciliation and reporting functions for the District.  Due to the withdrawal of the administrative agent, the remaining  districts were forced to establish a new cooperative effective 7/1/17 with a new accounting software system being implemented, new accounting personnel and new internal  controls being established in fiscal year 2017-18.  The system of internal controls established were ineffective or insufficient to ensure that misstatements caused by error or fraud were detected on a timely basis.</t>
  </si>
  <si>
    <t>There was a lack of a processes/controls to ensure general ledger accounts were reconciled regularly.  Additionally, adequate and timely detailed reviews were not  performed to ensure that reconciliations were being performed on a timely basis.  There was also a lack of a proper training for the office staff.</t>
  </si>
  <si>
    <t>We recommend that general ledger accounts be reconciled on a regular basis with all reconciling items being investigated, resolved, and appropriate adjustments be made to the general ledger.  In addition, someone other than the individual who is responsible for the preparation of the reconciliations should review the reconciliations for propriety.  The District should also re-evaluate controls to determine they are functioning effectively to detect errors or fraud on a timely basis.  We also recommend that additional training be obtained to enhance the overall accounting and reconciliation processes.</t>
  </si>
  <si>
    <t>The Director and Executive Board will meet to determine and implement additional control procedures to ensure that misstatements or errors are found in a timely manner and corrected.  Additional control procedures have been implemented subsequent to June 30, 2019.</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</si>
  <si>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</si>
  <si>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Executive Board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</si>
  <si>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non-full disclosure financial reports (i.e. without note disclosure) on a monthly basis.  Changes in accounting standards may not be identified and implemented by the Executive Board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</si>
  <si>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</si>
  <si>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the reporting requirements of generally accepted accounting principles applicable to governmental entities.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</si>
  <si>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</si>
  <si>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review of the balances and amounts are adequate in the circumstances and no additional procedures are considered necessary.</t>
  </si>
  <si>
    <t>Pre-School Flow-through and IDEA Flow-through (Special Education Cluster)</t>
  </si>
  <si>
    <t>2019-4600, 2019-4620</t>
  </si>
  <si>
    <t>84.173 and 84.027</t>
  </si>
  <si>
    <t>Illinois State Board of Education</t>
  </si>
  <si>
    <t>US Department of Education</t>
  </si>
  <si>
    <t>IDEA Flow-Through, 2019</t>
  </si>
  <si>
    <t>Expenditures charged to the grant should be supported by receipts and/or other supporting documentation in order to determine that the expenditure is an allowable cost under the grant.</t>
  </si>
  <si>
    <t>Supporting documentation for a conference registration expenditure charged to the grant could not be located.</t>
  </si>
  <si>
    <t>Out of a sample of 40 items, supporting  documentation for one expenditure could not be located.</t>
  </si>
  <si>
    <t>Without the proper supporting documentation, it could not be determined whether the expenditure was an allowable cost under the grant.</t>
  </si>
  <si>
    <t>We recommend that supporting documentation be maintained for all expenditures.  There should also be a review process to ensure all the required documentation is obtained and maintained prior to payments being made.</t>
  </si>
  <si>
    <t>This appears to be an isolated incidence due to registering for the conference on-line.  It was an oversight that the supporting documentation was not maintained.  In the future, a review process will be implemented to ensure all required documentation is obtained prior to the payment being made.</t>
  </si>
  <si>
    <t>The registration was performed on-line and the registration fee was charged to a credit card.  The supporting documentation was not maintained.</t>
  </si>
  <si>
    <t>2018-001</t>
  </si>
  <si>
    <t>There is not an adequate segregation of duties</t>
  </si>
  <si>
    <t>over the accounting function.</t>
  </si>
  <si>
    <t>Corrective action was not taken - repeated</t>
  </si>
  <si>
    <t>as finding No. 2019-001</t>
  </si>
  <si>
    <t>2018-002</t>
  </si>
  <si>
    <t>There are not adequate internal controls in place</t>
  </si>
  <si>
    <t>and/or the controls are not operating as designed to</t>
  </si>
  <si>
    <t>prevent or detect errors or fraud on a timely basis.</t>
  </si>
  <si>
    <t>as finding No. 2019-002</t>
  </si>
  <si>
    <t>2018-003</t>
  </si>
  <si>
    <t>District personnel  can not prepare the regulatory</t>
  </si>
  <si>
    <t>basis financial financial statements including the</t>
  </si>
  <si>
    <t>related note disclosures.</t>
  </si>
  <si>
    <t>as finding No. 2019-003</t>
  </si>
  <si>
    <t>2018-004</t>
  </si>
  <si>
    <t>as finding No. 2019-004</t>
  </si>
  <si>
    <t>Zach Crowl</t>
  </si>
  <si>
    <t>Reconciliation of many of the general ledger accounts to the underlying supporting documentation was not performed for the first five months of the year (accounts receivable, payroll withholding liabilities and liability accounts).   In addition,  the bank reconciliation was not performed for the first five months of the year until November 2018.</t>
  </si>
  <si>
    <t>Errors and/or omissions were not discovered by District employees and corrections were not made to the  general ledger until November 2018 when the bank reconciliations were  performed.  This resulted in inaccurate/incomplete financial information being recorded in the general ledger for the first five months of the year.</t>
  </si>
  <si>
    <t>Knox Warren Spec Ed Districts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</si>
</sst>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11" fillId="0" borderId="22" xfId="3" applyNumberFormat="1" applyFont="1" applyBorder="1" applyAlignment="1" applyProtection="1">
      <alignment horizontal="left" vertical="center" wrapText="1"/>
      <protection locked="0"/>
    </xf>
    <xf numFmtId="3" fontId="11" fillId="0" borderId="22" xfId="3" applyNumberFormat="1" applyFont="1" applyBorder="1" applyAlignment="1" applyProtection="1">
      <alignment horizontal="left" vertical="center"/>
      <protection locked="0"/>
    </xf>
    <xf numFmtId="3" fontId="61" fillId="0" borderId="165" xfId="3" applyNumberFormat="1" applyFont="1" applyBorder="1" applyAlignment="1" applyProtection="1">
      <alignment horizontal="center"/>
      <protection locked="0"/>
    </xf>
    <xf numFmtId="169" fontId="54" fillId="0" borderId="8" xfId="3" applyNumberFormat="1" applyFont="1" applyBorder="1" applyAlignment="1" applyProtection="1">
      <alignment horizontal="center"/>
      <protection locked="0"/>
    </xf>
    <xf numFmtId="1" fontId="54" fillId="0" borderId="8" xfId="3" applyNumberFormat="1" applyFont="1" applyBorder="1" applyAlignment="1" applyProtection="1">
      <alignment horizontal="center"/>
      <protection locked="0"/>
    </xf>
    <xf numFmtId="37" fontId="54" fillId="0" borderId="8" xfId="3" applyNumberFormat="1" applyFont="1" applyBorder="1" applyAlignment="1" applyProtection="1">
      <alignment horizontal="center"/>
      <protection locked="0"/>
    </xf>
    <xf numFmtId="3" fontId="54" fillId="0" borderId="8" xfId="3" applyNumberFormat="1" applyFont="1" applyBorder="1" applyAlignment="1" applyProtection="1">
      <alignment horizontal="center"/>
      <protection locked="0"/>
    </xf>
    <xf numFmtId="169" fontId="54" fillId="0" borderId="22" xfId="3" applyNumberFormat="1" applyFont="1" applyBorder="1" applyAlignment="1" applyProtection="1">
      <alignment horizontal="center"/>
      <protection locked="0"/>
    </xf>
    <xf numFmtId="1" fontId="54" fillId="0" borderId="22" xfId="3" applyNumberFormat="1" applyFont="1" applyBorder="1" applyAlignment="1" applyProtection="1">
      <alignment horizontal="center"/>
      <protection locked="0"/>
    </xf>
    <xf numFmtId="37" fontId="54" fillId="0" borderId="22" xfId="3" applyNumberFormat="1" applyFont="1" applyBorder="1" applyAlignment="1" applyProtection="1">
      <alignment horizontal="center"/>
      <protection locked="0"/>
    </xf>
    <xf numFmtId="3" fontId="54" fillId="0" borderId="22" xfId="3" applyNumberFormat="1" applyFont="1" applyBorder="1" applyAlignment="1" applyProtection="1">
      <alignment horizontal="center"/>
      <protection locked="0"/>
    </xf>
    <xf numFmtId="37" fontId="54" fillId="0" borderId="165" xfId="3" applyNumberFormat="1" applyFont="1" applyBorder="1" applyAlignment="1" applyProtection="1">
      <alignment horizontal="center"/>
      <protection locked="0"/>
    </xf>
    <xf numFmtId="3" fontId="19" fillId="0" borderId="22" xfId="3" applyNumberFormat="1" applyFont="1" applyBorder="1" applyAlignment="1" applyProtection="1">
      <alignment horizontal="left" vertical="center" wrapText="1"/>
      <protection locked="0"/>
    </xf>
    <xf numFmtId="3" fontId="19" fillId="0" borderId="22" xfId="3" applyNumberFormat="1" applyFont="1" applyBorder="1" applyAlignment="1" applyProtection="1">
      <alignment horizontal="left" vertical="center"/>
      <protection locked="0"/>
    </xf>
    <xf numFmtId="3" fontId="54" fillId="0" borderId="22" xfId="3" applyNumberFormat="1" applyFont="1" applyBorder="1" applyAlignment="1" applyProtection="1">
      <alignment horizontal="left" vertical="center" wrapText="1"/>
      <protection locked="0"/>
    </xf>
    <xf numFmtId="37" fontId="54" fillId="0" borderId="166" xfId="3" applyNumberFormat="1" applyFont="1" applyBorder="1" applyAlignment="1" applyProtection="1">
      <alignment horizontal="center"/>
      <protection locked="0"/>
    </xf>
    <xf numFmtId="0" fontId="53" fillId="0" borderId="147" xfId="3"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259773</xdr:colOff>
          <xdr:row>4</xdr:row>
          <xdr:rowOff>60614</xdr:rowOff>
        </xdr:from>
        <xdr:to>
          <xdr:col>1</xdr:col>
          <xdr:colOff>1174173</xdr:colOff>
          <xdr:row>8</xdr:row>
          <xdr:rowOff>58016</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1273752</xdr:colOff>
          <xdr:row>4</xdr:row>
          <xdr:rowOff>29441</xdr:rowOff>
        </xdr:from>
        <xdr:to>
          <xdr:col>1</xdr:col>
          <xdr:colOff>2188152</xdr:colOff>
          <xdr:row>8</xdr:row>
          <xdr:rowOff>77932</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01" t="s">
        <v>405</v>
      </c>
      <c r="J1" s="2002"/>
      <c r="K1" s="2002"/>
      <c r="L1" s="2002"/>
      <c r="M1" s="2002"/>
      <c r="N1" s="2002"/>
      <c r="O1" s="2002"/>
      <c r="P1" s="2002"/>
      <c r="Q1" s="2002"/>
      <c r="R1" s="2002"/>
      <c r="S1" s="2002"/>
    </row>
    <row r="2" spans="1:28" ht="12" customHeight="1" x14ac:dyDescent="0.2">
      <c r="A2" s="47" t="s">
        <v>1990</v>
      </c>
      <c r="D2" s="48"/>
      <c r="I2" s="2003" t="s">
        <v>979</v>
      </c>
      <c r="J2" s="2002"/>
      <c r="K2" s="2002"/>
      <c r="L2" s="2002"/>
      <c r="M2" s="2002"/>
      <c r="N2" s="2002"/>
      <c r="O2" s="2002"/>
      <c r="P2" s="2002"/>
      <c r="Q2" s="2002"/>
      <c r="R2" s="2002"/>
      <c r="S2" s="2002"/>
    </row>
    <row r="3" spans="1:28" ht="12" customHeight="1" x14ac:dyDescent="0.2">
      <c r="A3" s="155" t="s">
        <v>1942</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c r="C5" s="26" t="s">
        <v>910</v>
      </c>
      <c r="D5" s="84"/>
      <c r="E5" s="84"/>
      <c r="H5" s="38"/>
      <c r="I5" s="2011" t="s">
        <v>680</v>
      </c>
      <c r="J5" s="2010"/>
      <c r="K5" s="2010"/>
      <c r="L5" s="2010"/>
      <c r="M5" s="2010"/>
      <c r="N5" s="2010"/>
      <c r="O5" s="2010"/>
      <c r="P5" s="2010"/>
      <c r="Q5" s="2010"/>
      <c r="R5" s="2010"/>
      <c r="S5" s="2010"/>
    </row>
    <row r="6" spans="1:28" ht="14.1" customHeight="1" x14ac:dyDescent="0.2">
      <c r="B6" s="104" t="s">
        <v>2073</v>
      </c>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t="s">
        <v>2073</v>
      </c>
      <c r="P12" s="100" t="s">
        <v>202</v>
      </c>
      <c r="Q12" s="74"/>
      <c r="R12" s="30"/>
      <c r="S12" s="30"/>
      <c r="T12" s="85" t="s">
        <v>265</v>
      </c>
      <c r="U12" s="51"/>
      <c r="V12" s="51"/>
      <c r="W12" s="51"/>
      <c r="X12" s="51"/>
      <c r="Y12" s="45"/>
      <c r="Z12" s="45"/>
      <c r="AA12" s="46"/>
    </row>
    <row r="13" spans="1:28" ht="13.5" customHeight="1" x14ac:dyDescent="0.2">
      <c r="A13" s="2036">
        <v>33048801060</v>
      </c>
      <c r="B13" s="2037"/>
      <c r="C13" s="2037"/>
      <c r="D13" s="2037"/>
      <c r="E13" s="2037"/>
      <c r="F13" s="2037"/>
      <c r="G13" s="2037"/>
      <c r="H13" s="2038"/>
      <c r="I13" s="31"/>
      <c r="J13" s="30"/>
      <c r="K13" s="28"/>
      <c r="L13" s="30"/>
      <c r="M13" s="30"/>
      <c r="N13" s="30"/>
      <c r="O13" s="30"/>
      <c r="P13" s="30"/>
      <c r="Q13" s="30"/>
      <c r="R13" s="30"/>
      <c r="S13" s="30"/>
      <c r="T13" s="2041" t="s">
        <v>2064</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2074</v>
      </c>
      <c r="B15" s="2039"/>
      <c r="C15" s="2039"/>
      <c r="D15" s="2039"/>
      <c r="E15" s="2039"/>
      <c r="F15" s="2039"/>
      <c r="G15" s="2039"/>
      <c r="H15" s="2040"/>
      <c r="T15" s="2045" t="s">
        <v>2065</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2161</v>
      </c>
      <c r="B17" s="1996"/>
      <c r="C17" s="1996"/>
      <c r="D17" s="1996"/>
      <c r="E17" s="1996"/>
      <c r="F17" s="1996"/>
      <c r="G17" s="1996"/>
      <c r="H17" s="2021"/>
      <c r="T17" s="2052" t="s">
        <v>2066</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2075</v>
      </c>
      <c r="B19" s="1981"/>
      <c r="C19" s="1981"/>
      <c r="D19" s="1981"/>
      <c r="E19" s="1981"/>
      <c r="F19" s="1981"/>
      <c r="G19" s="1981"/>
      <c r="H19" s="1961"/>
      <c r="I19" s="30"/>
      <c r="J19" s="99"/>
      <c r="K19" s="40"/>
      <c r="L19" s="38"/>
      <c r="M19" s="112" t="s">
        <v>315</v>
      </c>
      <c r="P19" s="27"/>
      <c r="Q19" s="27"/>
      <c r="R19" s="27"/>
      <c r="S19" s="31"/>
      <c r="T19" s="2035" t="s">
        <v>2067</v>
      </c>
      <c r="U19" s="1960"/>
      <c r="V19" s="1960"/>
      <c r="W19" s="1961"/>
      <c r="X19" s="2050" t="s">
        <v>2068</v>
      </c>
      <c r="Y19" s="2051"/>
      <c r="Z19" s="2048">
        <v>61615</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2076</v>
      </c>
      <c r="B21" s="1960"/>
      <c r="C21" s="1960"/>
      <c r="D21" s="1960"/>
      <c r="E21" s="1960"/>
      <c r="F21" s="1960"/>
      <c r="G21" s="1960"/>
      <c r="H21" s="1961"/>
      <c r="I21" s="2015" t="s">
        <v>678</v>
      </c>
      <c r="J21" s="2010"/>
      <c r="K21" s="2010"/>
      <c r="L21" s="2010"/>
      <c r="M21" s="2010"/>
      <c r="N21" s="2010"/>
      <c r="O21" s="2010"/>
      <c r="P21" s="2010"/>
      <c r="Q21" s="2010"/>
      <c r="R21" s="2010"/>
      <c r="S21" s="2016"/>
      <c r="T21" s="2059" t="s">
        <v>2069</v>
      </c>
      <c r="U21" s="2060"/>
      <c r="V21" s="2060"/>
      <c r="W21" s="2060"/>
      <c r="X21" s="2065" t="s">
        <v>2070</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2077</v>
      </c>
      <c r="B23" s="2013"/>
      <c r="C23" s="2013"/>
      <c r="D23" s="2013"/>
      <c r="E23" s="2013"/>
      <c r="F23" s="2013"/>
      <c r="G23" s="2013"/>
      <c r="H23" s="2014"/>
      <c r="T23" s="1995" t="s">
        <v>2071</v>
      </c>
      <c r="U23" s="2058"/>
      <c r="V23" s="2058"/>
      <c r="W23" s="2058"/>
      <c r="X23" s="2062">
        <v>44530</v>
      </c>
      <c r="Y23" s="2063"/>
      <c r="Z23" s="2063"/>
      <c r="AA23" s="2064"/>
    </row>
    <row r="24" spans="1:27" ht="14.1" customHeight="1" x14ac:dyDescent="0.2">
      <c r="A24" s="88" t="s">
        <v>677</v>
      </c>
      <c r="B24" s="49"/>
      <c r="C24" s="49"/>
      <c r="D24" s="49"/>
      <c r="E24" s="49"/>
      <c r="F24" s="49"/>
      <c r="G24" s="49"/>
      <c r="H24" s="61"/>
      <c r="J24" s="1982" t="str">
        <f>IF(B5="x",IF(AUDITCHECK!D29="AFR form Incomplete.","",IF(AUDITCHECK!D29="Deficit reduction plan is required.","School District must complete a deficit reduction plan in the 2019-2020 Budget",)),"")</f>
        <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61401</v>
      </c>
      <c r="B25" s="1960"/>
      <c r="C25" s="1960"/>
      <c r="D25" s="1960"/>
      <c r="E25" s="1960"/>
      <c r="F25" s="1960"/>
      <c r="G25" s="1960"/>
      <c r="H25" s="1961"/>
      <c r="I25" s="113"/>
      <c r="J25" s="1984"/>
      <c r="K25" s="1984"/>
      <c r="L25" s="1984"/>
      <c r="M25" s="1984"/>
      <c r="N25" s="1984"/>
      <c r="O25" s="1984"/>
      <c r="P25" s="1984"/>
      <c r="Q25" s="1984"/>
      <c r="R25" s="1984"/>
      <c r="S25" s="1985"/>
      <c r="T25" s="2055" t="s">
        <v>2072</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48" t="s">
        <v>2073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2158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2077</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2078</v>
      </c>
      <c r="B42" s="1979"/>
      <c r="C42" s="1980"/>
      <c r="D42" s="1978" t="s">
        <v>2079</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01" t="s">
        <v>1801</v>
      </c>
      <c r="B2" s="1526" t="s">
        <v>1948</v>
      </c>
      <c r="C2" s="714" t="s">
        <v>1949</v>
      </c>
      <c r="D2" s="714" t="s">
        <v>1950</v>
      </c>
      <c r="E2" s="714" t="s">
        <v>1951</v>
      </c>
      <c r="F2" s="714" t="s">
        <v>1952</v>
      </c>
    </row>
    <row r="3" spans="1:6" ht="12" customHeight="1" x14ac:dyDescent="0.2">
      <c r="A3" s="2202"/>
      <c r="B3" s="1523"/>
      <c r="C3" s="1524"/>
      <c r="D3" s="1525" t="s">
        <v>256</v>
      </c>
      <c r="E3" s="1524"/>
      <c r="F3" s="1525" t="s">
        <v>257</v>
      </c>
    </row>
    <row r="4" spans="1:6" ht="13.7" customHeight="1" x14ac:dyDescent="0.2">
      <c r="A4" s="715" t="s">
        <v>1155</v>
      </c>
      <c r="B4" s="1747">
        <f>'Revenues 9-14'!C5</f>
        <v>0</v>
      </c>
      <c r="C4" s="1522"/>
      <c r="D4" s="1750">
        <f>B4-C4</f>
        <v>0</v>
      </c>
      <c r="E4" s="1522"/>
      <c r="F4" s="1750">
        <f>E4-C4</f>
        <v>0</v>
      </c>
    </row>
    <row r="5" spans="1:6" ht="13.7" customHeight="1" x14ac:dyDescent="0.2">
      <c r="A5" s="715" t="s">
        <v>870</v>
      </c>
      <c r="B5" s="1748">
        <f>'Revenues 9-14'!D5</f>
        <v>0</v>
      </c>
      <c r="C5" s="585"/>
      <c r="D5" s="1751">
        <f t="shared" ref="D5:D18" si="0">B5-C5</f>
        <v>0</v>
      </c>
      <c r="E5" s="585"/>
      <c r="F5" s="1751">
        <f>E5-C5</f>
        <v>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0</v>
      </c>
      <c r="C7" s="585"/>
      <c r="D7" s="1751">
        <f t="shared" si="0"/>
        <v>0</v>
      </c>
      <c r="E7" s="585"/>
      <c r="F7" s="1751">
        <f t="shared" si="1"/>
        <v>0</v>
      </c>
    </row>
    <row r="8" spans="1:6" ht="13.7" customHeight="1" x14ac:dyDescent="0.2">
      <c r="A8" s="715" t="s">
        <v>1179</v>
      </c>
      <c r="B8" s="1748">
        <f>'Revenues 9-14'!G5</f>
        <v>0</v>
      </c>
      <c r="C8" s="585"/>
      <c r="D8" s="1751">
        <f t="shared" si="0"/>
        <v>0</v>
      </c>
      <c r="E8" s="585"/>
      <c r="F8" s="1751">
        <f t="shared" si="1"/>
        <v>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0</v>
      </c>
      <c r="C16" s="585"/>
      <c r="D16" s="1751">
        <f t="shared" si="0"/>
        <v>0</v>
      </c>
      <c r="E16" s="585"/>
      <c r="F16" s="1751">
        <f t="shared" si="1"/>
        <v>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0</v>
      </c>
      <c r="C19" s="1749">
        <f>SUM(C4:C18)</f>
        <v>0</v>
      </c>
      <c r="D19" s="1749">
        <f>SUM(D4:D18)</f>
        <v>0</v>
      </c>
      <c r="E19" s="1749">
        <f>SUM(E4:E18)</f>
        <v>0</v>
      </c>
      <c r="F19" s="1749">
        <f>SUM(F4:F18)</f>
        <v>0</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21"/>
    </row>
    <row r="2" spans="1:7" ht="33.75" x14ac:dyDescent="0.2">
      <c r="A2" s="2228" t="s">
        <v>1801</v>
      </c>
      <c r="B2" s="2229"/>
      <c r="C2" s="1882" t="s">
        <v>1953</v>
      </c>
      <c r="D2" s="723" t="s">
        <v>1954</v>
      </c>
      <c r="E2" s="723" t="s">
        <v>1955</v>
      </c>
      <c r="F2" s="1882" t="s">
        <v>1956</v>
      </c>
    </row>
    <row r="3" spans="1:7" ht="15.75" customHeight="1" x14ac:dyDescent="0.2">
      <c r="A3" s="2230" t="s">
        <v>1114</v>
      </c>
      <c r="B3" s="2231"/>
      <c r="C3" s="2224"/>
      <c r="D3" s="2225"/>
      <c r="E3" s="2225"/>
      <c r="F3" s="2226"/>
    </row>
    <row r="4" spans="1:7" ht="12.75" customHeight="1" thickBot="1" x14ac:dyDescent="0.25">
      <c r="A4" s="2218" t="s">
        <v>630</v>
      </c>
      <c r="B4" s="2219"/>
      <c r="C4" s="581"/>
      <c r="D4" s="581"/>
      <c r="E4" s="581"/>
      <c r="F4" s="1753">
        <f>SUM(C4+D4)-E4</f>
        <v>0</v>
      </c>
    </row>
    <row r="5" spans="1:7" ht="15.75" customHeight="1" thickTop="1" x14ac:dyDescent="0.2">
      <c r="A5" s="2222" t="s">
        <v>1110</v>
      </c>
      <c r="B5" s="2217"/>
      <c r="C5" s="2211"/>
      <c r="D5" s="2212"/>
      <c r="E5" s="2212"/>
      <c r="F5" s="221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14" t="s">
        <v>631</v>
      </c>
      <c r="B15" s="2215"/>
      <c r="C15" s="1753">
        <f>SUM(C6:C14)</f>
        <v>0</v>
      </c>
      <c r="D15" s="1753">
        <f>SUM(D6:D14)</f>
        <v>0</v>
      </c>
      <c r="E15" s="1753">
        <f>SUM(E6:E14)</f>
        <v>0</v>
      </c>
      <c r="F15" s="1753">
        <f>SUM(F6:F14)</f>
        <v>0</v>
      </c>
      <c r="G15" s="552"/>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6"/>
      <c r="D17" s="585"/>
      <c r="E17" s="726"/>
      <c r="F17" s="1753">
        <f>SUM(C17+D17)-E17</f>
        <v>0</v>
      </c>
    </row>
    <row r="18" spans="1:11" ht="12.75" customHeight="1" thickTop="1" thickBot="1" x14ac:dyDescent="0.25">
      <c r="A18" s="2209" t="s">
        <v>6</v>
      </c>
      <c r="B18" s="2210"/>
      <c r="C18" s="726"/>
      <c r="D18" s="585"/>
      <c r="E18" s="726"/>
      <c r="F18" s="1753">
        <f>SUM(C18+D18)-E18</f>
        <v>0</v>
      </c>
    </row>
    <row r="19" spans="1:11" ht="12.75" customHeight="1" thickTop="1" thickBot="1" x14ac:dyDescent="0.25">
      <c r="A19" s="2209" t="s">
        <v>388</v>
      </c>
      <c r="B19" s="2210"/>
      <c r="C19" s="726"/>
      <c r="D19" s="585"/>
      <c r="E19" s="726"/>
      <c r="F19" s="1753">
        <f>SUM(C19+D19)-E19</f>
        <v>0</v>
      </c>
    </row>
    <row r="20" spans="1:11" ht="12.75" customHeight="1" thickTop="1" thickBot="1" x14ac:dyDescent="0.25">
      <c r="A20" s="2209" t="s">
        <v>448</v>
      </c>
      <c r="B20" s="2210"/>
      <c r="C20" s="726"/>
      <c r="D20" s="585"/>
      <c r="E20" s="726"/>
      <c r="F20" s="1753">
        <f>SUM(C20+D20)-E20</f>
        <v>0</v>
      </c>
    </row>
    <row r="21" spans="1:11" ht="14.25" thickTop="1" thickBot="1" x14ac:dyDescent="0.25">
      <c r="A21" s="2214" t="s">
        <v>632</v>
      </c>
      <c r="B21" s="2215"/>
      <c r="C21" s="1753">
        <f>SUM(C17:C20)</f>
        <v>0</v>
      </c>
      <c r="D21" s="1753">
        <f>SUM(D17:D20)</f>
        <v>0</v>
      </c>
      <c r="E21" s="1753">
        <f>SUM(E17:E20)</f>
        <v>0</v>
      </c>
      <c r="F21" s="1753">
        <f>SUM(F17:F20)</f>
        <v>0</v>
      </c>
      <c r="G21" s="552"/>
    </row>
    <row r="22" spans="1:11" ht="15.75" customHeight="1" thickTop="1" x14ac:dyDescent="0.2">
      <c r="A22" s="2216" t="s">
        <v>1112</v>
      </c>
      <c r="B22" s="2217"/>
      <c r="C22" s="2211"/>
      <c r="D22" s="2212"/>
      <c r="E22" s="2212"/>
      <c r="F22" s="2213"/>
    </row>
    <row r="23" spans="1:11" ht="13.5" thickBot="1" x14ac:dyDescent="0.25">
      <c r="A23" s="2218" t="s">
        <v>633</v>
      </c>
      <c r="B23" s="2219"/>
      <c r="C23" s="581"/>
      <c r="D23" s="581"/>
      <c r="E23" s="581"/>
      <c r="F23" s="1753">
        <f>SUM(C23+D23)-E23</f>
        <v>0</v>
      </c>
      <c r="G23" s="552"/>
    </row>
    <row r="24" spans="1:11" ht="15.75" customHeight="1" thickTop="1" x14ac:dyDescent="0.2">
      <c r="A24" s="2216" t="s">
        <v>1113</v>
      </c>
      <c r="B24" s="2217"/>
      <c r="C24" s="2211"/>
      <c r="D24" s="2212"/>
      <c r="E24" s="2212"/>
      <c r="F24" s="2213"/>
    </row>
    <row r="25" spans="1:11" ht="13.5" thickBot="1" x14ac:dyDescent="0.25">
      <c r="A25" s="2218" t="s">
        <v>634</v>
      </c>
      <c r="B25" s="2219"/>
      <c r="C25" s="581"/>
      <c r="D25" s="581"/>
      <c r="E25" s="581"/>
      <c r="F25" s="1753">
        <f>SUM(C25+D25)-E25</f>
        <v>0</v>
      </c>
      <c r="G25" s="552"/>
    </row>
    <row r="26" spans="1:11" ht="15.75" customHeight="1" thickTop="1" x14ac:dyDescent="0.2">
      <c r="A26" s="2222" t="s">
        <v>657</v>
      </c>
      <c r="B26" s="2217"/>
      <c r="C26" s="727"/>
      <c r="D26" s="727"/>
      <c r="E26" s="727"/>
      <c r="F26" s="728"/>
    </row>
    <row r="27" spans="1:11" ht="13.5" thickBot="1" x14ac:dyDescent="0.25">
      <c r="A27" s="2214" t="s">
        <v>1070</v>
      </c>
      <c r="B27" s="2215"/>
      <c r="C27" s="585"/>
      <c r="D27" s="585"/>
      <c r="E27" s="585"/>
      <c r="F27" s="1753">
        <f>SUM(C27+D27)-E27</f>
        <v>0</v>
      </c>
      <c r="G27" s="552"/>
    </row>
    <row r="28" spans="1:11" ht="7.5" customHeight="1" thickTop="1" x14ac:dyDescent="0.2">
      <c r="A28" s="593"/>
    </row>
    <row r="29" spans="1:11" ht="23.25" customHeight="1" x14ac:dyDescent="0.2">
      <c r="A29" s="2220" t="s">
        <v>582</v>
      </c>
      <c r="B29" s="2221"/>
      <c r="C29" s="729"/>
      <c r="D29" s="729"/>
      <c r="E29" s="729"/>
      <c r="F29" s="729"/>
      <c r="G29" s="729"/>
      <c r="H29" s="729"/>
      <c r="I29" s="729"/>
      <c r="J29" s="729"/>
    </row>
    <row r="30" spans="1:11" ht="33.75" x14ac:dyDescent="0.2">
      <c r="A30" s="1527" t="s">
        <v>1071</v>
      </c>
      <c r="B30" s="730" t="s">
        <v>1124</v>
      </c>
      <c r="C30" s="1883" t="s">
        <v>583</v>
      </c>
      <c r="D30" s="1883" t="s">
        <v>1673</v>
      </c>
      <c r="E30" s="1883" t="s">
        <v>1957</v>
      </c>
      <c r="F30" s="1883" t="s">
        <v>1958</v>
      </c>
      <c r="G30" s="1883" t="s">
        <v>1909</v>
      </c>
      <c r="H30" s="1883" t="s">
        <v>1959</v>
      </c>
      <c r="I30" s="1883" t="s">
        <v>1960</v>
      </c>
      <c r="J30" s="1884"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0</v>
      </c>
      <c r="D49" s="745"/>
      <c r="E49" s="1754">
        <f t="shared" ref="E49:J49" si="2">SUM(E31:E48)</f>
        <v>0</v>
      </c>
      <c r="F49" s="1754">
        <f t="shared" si="2"/>
        <v>0</v>
      </c>
      <c r="G49" s="1754">
        <f t="shared" si="2"/>
        <v>0</v>
      </c>
      <c r="H49" s="1754">
        <f t="shared" si="2"/>
        <v>0</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4"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8"/>
      <c r="I1" s="760"/>
      <c r="J1" s="433"/>
    </row>
    <row r="2" spans="1:11" ht="26.25" x14ac:dyDescent="0.2">
      <c r="A2" s="2251" t="s">
        <v>1677</v>
      </c>
      <c r="B2" s="2252"/>
      <c r="C2" s="2252"/>
      <c r="D2" s="2252"/>
      <c r="E2" s="2253"/>
      <c r="F2" s="761" t="s">
        <v>904</v>
      </c>
      <c r="G2" s="762" t="s">
        <v>1674</v>
      </c>
      <c r="H2" s="762" t="s">
        <v>410</v>
      </c>
      <c r="I2" s="762" t="s">
        <v>1158</v>
      </c>
      <c r="J2" s="762" t="s">
        <v>1811</v>
      </c>
      <c r="K2" s="762" t="s">
        <v>138</v>
      </c>
    </row>
    <row r="3" spans="1:11" x14ac:dyDescent="0.2">
      <c r="A3" s="2254" t="s">
        <v>1961</v>
      </c>
      <c r="B3" s="2255"/>
      <c r="C3" s="2255"/>
      <c r="D3" s="2255"/>
      <c r="E3" s="2256"/>
      <c r="F3" s="763"/>
      <c r="G3" s="764"/>
      <c r="H3" s="764"/>
      <c r="I3" s="764"/>
      <c r="J3" s="765"/>
      <c r="K3" s="765"/>
    </row>
    <row r="4" spans="1:11" x14ac:dyDescent="0.2">
      <c r="A4" s="2257" t="s">
        <v>369</v>
      </c>
      <c r="B4" s="2258"/>
      <c r="C4" s="2258"/>
      <c r="D4" s="2258"/>
      <c r="E4" s="2204"/>
      <c r="F4" s="766"/>
      <c r="G4" s="767"/>
      <c r="H4" s="768"/>
      <c r="I4" s="767"/>
      <c r="J4" s="769"/>
      <c r="K4" s="769"/>
    </row>
    <row r="5" spans="1:11" x14ac:dyDescent="0.2">
      <c r="A5" s="2235" t="s">
        <v>1069</v>
      </c>
      <c r="B5" s="2236"/>
      <c r="C5" s="2236"/>
      <c r="D5" s="2236"/>
      <c r="E5" s="223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5" t="s">
        <v>1812</v>
      </c>
      <c r="B10" s="2236"/>
      <c r="C10" s="2236"/>
      <c r="D10" s="2236"/>
      <c r="E10" s="2238"/>
      <c r="F10" s="783" t="s">
        <v>862</v>
      </c>
      <c r="G10" s="782"/>
      <c r="H10" s="784"/>
      <c r="I10" s="764"/>
      <c r="J10" s="765"/>
      <c r="K10" s="765"/>
    </row>
    <row r="11" spans="1:11" x14ac:dyDescent="0.2">
      <c r="A11" s="2235" t="s">
        <v>160</v>
      </c>
      <c r="B11" s="2236"/>
      <c r="C11" s="2236"/>
      <c r="D11" s="2236"/>
      <c r="E11" s="2237"/>
      <c r="F11" s="770" t="s">
        <v>852</v>
      </c>
      <c r="G11" s="771"/>
      <c r="H11" s="764"/>
      <c r="I11" s="764"/>
      <c r="J11" s="765"/>
      <c r="K11" s="773"/>
    </row>
    <row r="12" spans="1:11" ht="13.5" thickBot="1" x14ac:dyDescent="0.25">
      <c r="A12" s="2262" t="s">
        <v>905</v>
      </c>
      <c r="B12" s="2263"/>
      <c r="C12" s="2263"/>
      <c r="D12" s="2263"/>
      <c r="E12" s="2264"/>
      <c r="F12" s="1755"/>
      <c r="G12" s="1756">
        <f>SUM(G5:G11)</f>
        <v>0</v>
      </c>
      <c r="H12" s="1756">
        <f>SUM(H5:H11)</f>
        <v>0</v>
      </c>
      <c r="I12" s="1756">
        <f>SUM(I5:I11)</f>
        <v>0</v>
      </c>
      <c r="J12" s="1756">
        <f>SUM(J5:J11)</f>
        <v>0</v>
      </c>
      <c r="K12" s="1756">
        <f>SUM(K5:K11)</f>
        <v>0</v>
      </c>
    </row>
    <row r="13" spans="1:11" ht="13.5" thickTop="1" x14ac:dyDescent="0.2">
      <c r="A13" s="2259" t="s">
        <v>370</v>
      </c>
      <c r="B13" s="2260"/>
      <c r="C13" s="2260"/>
      <c r="D13" s="2260"/>
      <c r="E13" s="2261"/>
      <c r="F13" s="785"/>
      <c r="G13" s="786"/>
      <c r="H13" s="787"/>
      <c r="I13" s="788"/>
      <c r="J13" s="788"/>
      <c r="K13" s="788"/>
    </row>
    <row r="14" spans="1:11" x14ac:dyDescent="0.2">
      <c r="A14" s="2242" t="s">
        <v>456</v>
      </c>
      <c r="B14" s="2242"/>
      <c r="C14" s="2242"/>
      <c r="D14" s="2242"/>
      <c r="E14" s="2243"/>
      <c r="F14" s="789" t="s">
        <v>854</v>
      </c>
      <c r="G14" s="782"/>
      <c r="H14" s="764"/>
      <c r="I14" s="771"/>
      <c r="J14" s="773"/>
      <c r="K14" s="765"/>
    </row>
    <row r="15" spans="1:11" x14ac:dyDescent="0.2">
      <c r="A15" s="2236" t="s">
        <v>4</v>
      </c>
      <c r="B15" s="2236"/>
      <c r="C15" s="2236"/>
      <c r="D15" s="2236"/>
      <c r="E15" s="2237"/>
      <c r="F15" s="789" t="s">
        <v>855</v>
      </c>
      <c r="G15" s="771"/>
      <c r="H15" s="764"/>
      <c r="I15" s="764"/>
      <c r="J15" s="765"/>
      <c r="K15" s="765"/>
    </row>
    <row r="16" spans="1:11" x14ac:dyDescent="0.2">
      <c r="A16" s="2236" t="s">
        <v>298</v>
      </c>
      <c r="B16" s="2236"/>
      <c r="C16" s="2236"/>
      <c r="D16" s="2236"/>
      <c r="E16" s="2237"/>
      <c r="F16" s="789" t="s">
        <v>923</v>
      </c>
      <c r="G16" s="772"/>
      <c r="H16" s="767"/>
      <c r="I16" s="767"/>
      <c r="J16" s="769"/>
      <c r="K16" s="769"/>
    </row>
    <row r="17" spans="1:11" x14ac:dyDescent="0.2">
      <c r="A17" s="2267" t="s">
        <v>935</v>
      </c>
      <c r="B17" s="2267"/>
      <c r="C17" s="2267"/>
      <c r="D17" s="2267"/>
      <c r="E17" s="2268"/>
      <c r="F17" s="790"/>
      <c r="G17" s="791"/>
      <c r="H17" s="792"/>
      <c r="I17" s="792"/>
      <c r="J17" s="793"/>
      <c r="K17" s="794"/>
    </row>
    <row r="18" spans="1:11" x14ac:dyDescent="0.2">
      <c r="A18" s="2246" t="s">
        <v>368</v>
      </c>
      <c r="B18" s="2247"/>
      <c r="C18" s="2247"/>
      <c r="D18" s="2247"/>
      <c r="E18" s="2248"/>
      <c r="F18" s="789" t="s">
        <v>932</v>
      </c>
      <c r="G18" s="782"/>
      <c r="H18" s="782"/>
      <c r="I18" s="782"/>
      <c r="J18" s="765"/>
      <c r="K18" s="795"/>
    </row>
    <row r="19" spans="1:11" ht="21.75" customHeight="1" x14ac:dyDescent="0.2">
      <c r="A19" s="2244" t="s">
        <v>1808</v>
      </c>
      <c r="B19" s="2244"/>
      <c r="C19" s="2244"/>
      <c r="D19" s="2244"/>
      <c r="E19" s="2245"/>
      <c r="F19" s="789" t="s">
        <v>933</v>
      </c>
      <c r="G19" s="782"/>
      <c r="H19" s="782"/>
      <c r="I19" s="782"/>
      <c r="J19" s="765"/>
      <c r="K19" s="795"/>
    </row>
    <row r="20" spans="1:11" x14ac:dyDescent="0.2">
      <c r="A20" s="2246" t="s">
        <v>1813</v>
      </c>
      <c r="B20" s="2247"/>
      <c r="C20" s="2247"/>
      <c r="D20" s="2247"/>
      <c r="E20" s="2248"/>
      <c r="F20" s="789" t="s">
        <v>934</v>
      </c>
      <c r="G20" s="782"/>
      <c r="H20" s="782"/>
      <c r="I20" s="782"/>
      <c r="J20" s="765"/>
      <c r="K20" s="795"/>
    </row>
    <row r="21" spans="1:11" ht="13.5" thickBot="1" x14ac:dyDescent="0.25">
      <c r="A21" s="2265" t="s">
        <v>638</v>
      </c>
      <c r="B21" s="2265"/>
      <c r="C21" s="2265"/>
      <c r="D21" s="2265"/>
      <c r="E21" s="2265"/>
      <c r="F21" s="1757"/>
      <c r="G21" s="792"/>
      <c r="H21" s="796"/>
      <c r="I21" s="796"/>
      <c r="J21" s="1758">
        <f>SUM(J18:J20)</f>
        <v>0</v>
      </c>
      <c r="K21" s="793"/>
    </row>
    <row r="22" spans="1:11" ht="13.5" thickTop="1" x14ac:dyDescent="0.2">
      <c r="A22" s="2236" t="s">
        <v>1814</v>
      </c>
      <c r="B22" s="2236"/>
      <c r="C22" s="2236"/>
      <c r="D22" s="2236"/>
      <c r="E22" s="2237"/>
      <c r="F22" s="789" t="s">
        <v>862</v>
      </c>
      <c r="G22" s="782"/>
      <c r="H22" s="764"/>
      <c r="I22" s="764"/>
      <c r="J22" s="797"/>
      <c r="K22" s="765"/>
    </row>
    <row r="23" spans="1:11" ht="13.5" thickBot="1" x14ac:dyDescent="0.25">
      <c r="A23" s="2266" t="s">
        <v>906</v>
      </c>
      <c r="B23" s="2265"/>
      <c r="C23" s="2265"/>
      <c r="D23" s="2265"/>
      <c r="E23" s="2265"/>
      <c r="F23" s="1759"/>
      <c r="G23" s="1756">
        <f>SUM(G14:G16,G21,G22)</f>
        <v>0</v>
      </c>
      <c r="H23" s="1756">
        <f>SUM(H14:H16,H21,H22)</f>
        <v>0</v>
      </c>
      <c r="I23" s="1756">
        <f>SUM(I14:I16,I21,I22)</f>
        <v>0</v>
      </c>
      <c r="J23" s="1756">
        <f>SUM(J14:J16,J21,J22)</f>
        <v>0</v>
      </c>
      <c r="K23" s="1756">
        <f>SUM(K14:K16,K21,K22)</f>
        <v>0</v>
      </c>
    </row>
    <row r="24" spans="1:11" ht="14.25" thickTop="1" thickBot="1" x14ac:dyDescent="0.25">
      <c r="A24" s="2266" t="s">
        <v>1962</v>
      </c>
      <c r="B24" s="2265"/>
      <c r="C24" s="2265"/>
      <c r="D24" s="2265"/>
      <c r="E24" s="2265"/>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1908</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9"/>
      <c r="I31" s="2240"/>
      <c r="J31" s="2240"/>
      <c r="K31" s="2240"/>
    </row>
    <row r="32" spans="1:11" x14ac:dyDescent="0.2">
      <c r="A32" s="809"/>
      <c r="B32" s="237"/>
      <c r="C32" s="237"/>
      <c r="D32" s="237"/>
      <c r="E32" s="805"/>
      <c r="F32" s="811" t="s">
        <v>540</v>
      </c>
      <c r="G32" s="764"/>
      <c r="H32" s="2241"/>
      <c r="I32" s="2240"/>
      <c r="J32" s="2240"/>
      <c r="K32" s="2240"/>
    </row>
    <row r="33" spans="1:11" ht="1.5" customHeight="1" x14ac:dyDescent="0.2">
      <c r="A33" s="812" t="s">
        <v>1169</v>
      </c>
      <c r="B33" s="364"/>
      <c r="C33" s="364"/>
      <c r="D33" s="364"/>
      <c r="E33" s="364"/>
      <c r="F33" s="364"/>
      <c r="G33" s="813"/>
      <c r="H33" s="2241"/>
      <c r="I33" s="2240"/>
      <c r="J33" s="2240"/>
      <c r="K33" s="2240"/>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6" t="s">
        <v>541</v>
      </c>
      <c r="B41" s="2249"/>
      <c r="C41" s="2249"/>
      <c r="D41" s="2249"/>
      <c r="E41" s="2249"/>
      <c r="F41" s="225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1809</v>
      </c>
      <c r="B46" s="408" t="s">
        <v>1675</v>
      </c>
    </row>
    <row r="47" spans="1:11" s="823" customFormat="1" ht="12.75" customHeight="1" x14ac:dyDescent="0.2">
      <c r="A47" s="821"/>
      <c r="B47" s="822" t="s">
        <v>1676</v>
      </c>
      <c r="E47" s="822"/>
      <c r="K47" s="824"/>
    </row>
    <row r="48" spans="1:11" ht="12.75" customHeight="1" x14ac:dyDescent="0.2">
      <c r="A48" s="1530"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1907</v>
      </c>
      <c r="B1" s="2272"/>
      <c r="C1" s="2273"/>
      <c r="D1" s="826"/>
      <c r="E1" s="827"/>
      <c r="F1" s="827"/>
      <c r="G1" s="828"/>
      <c r="H1" s="829"/>
      <c r="I1" s="830"/>
      <c r="J1" s="2269"/>
      <c r="K1" s="2270"/>
      <c r="L1" s="227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c r="D5" s="841"/>
      <c r="E5" s="841"/>
      <c r="F5" s="1758">
        <f>(C5+D5)-E5</f>
        <v>0</v>
      </c>
      <c r="G5" s="837"/>
      <c r="H5" s="842"/>
      <c r="I5" s="842"/>
      <c r="J5" s="842"/>
      <c r="K5" s="793"/>
      <c r="L5" s="1767">
        <f>F5-K5</f>
        <v>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c r="D8" s="844"/>
      <c r="E8" s="844"/>
      <c r="F8" s="1758">
        <f>(C8+D8)-E8</f>
        <v>0</v>
      </c>
      <c r="G8" s="843">
        <v>50</v>
      </c>
      <c r="H8" s="765"/>
      <c r="I8" s="765"/>
      <c r="J8" s="765"/>
      <c r="K8" s="1767">
        <f>(H8+I8)-J8</f>
        <v>0</v>
      </c>
      <c r="L8" s="1767">
        <f>F8-K8</f>
        <v>0</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c r="D10" s="846"/>
      <c r="E10" s="846"/>
      <c r="F10" s="1762">
        <f>(C10+D10)-E10</f>
        <v>0</v>
      </c>
      <c r="G10" s="843">
        <v>20</v>
      </c>
      <c r="H10" s="847"/>
      <c r="I10" s="847"/>
      <c r="J10" s="847"/>
      <c r="K10" s="1767">
        <f>(H10+I10)-J10</f>
        <v>0</v>
      </c>
      <c r="L10" s="1767">
        <f>F10-K10</f>
        <v>0</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13193</v>
      </c>
      <c r="D12" s="844"/>
      <c r="E12" s="844"/>
      <c r="F12" s="1758">
        <f>(C12+D12)-E12</f>
        <v>13193</v>
      </c>
      <c r="G12" s="843">
        <v>10</v>
      </c>
      <c r="H12" s="765">
        <v>1319</v>
      </c>
      <c r="I12" s="765">
        <v>1319</v>
      </c>
      <c r="J12" s="765"/>
      <c r="K12" s="1767">
        <f>(H12+I12)-J12</f>
        <v>2638</v>
      </c>
      <c r="L12" s="1767">
        <f>F12-K12</f>
        <v>10555</v>
      </c>
    </row>
    <row r="13" spans="1:14" ht="14.25" thickTop="1" thickBot="1" x14ac:dyDescent="0.25">
      <c r="A13" s="848" t="s">
        <v>1122</v>
      </c>
      <c r="B13" s="840">
        <v>252</v>
      </c>
      <c r="C13" s="844"/>
      <c r="D13" s="844">
        <v>25665</v>
      </c>
      <c r="E13" s="844"/>
      <c r="F13" s="1758">
        <f>(C13+D13)-E13</f>
        <v>25665</v>
      </c>
      <c r="G13" s="843">
        <v>5</v>
      </c>
      <c r="H13" s="765"/>
      <c r="I13" s="765">
        <v>5133</v>
      </c>
      <c r="J13" s="765"/>
      <c r="K13" s="1767">
        <f>(H13+I13)-J13</f>
        <v>5133</v>
      </c>
      <c r="L13" s="1767">
        <f>F13-K13</f>
        <v>20532</v>
      </c>
    </row>
    <row r="14" spans="1:14" ht="14.25" thickTop="1" thickBot="1" x14ac:dyDescent="0.25">
      <c r="A14" s="848" t="s">
        <v>1123</v>
      </c>
      <c r="B14" s="840">
        <v>253</v>
      </c>
      <c r="C14" s="765">
        <v>31379</v>
      </c>
      <c r="D14" s="765"/>
      <c r="E14" s="765"/>
      <c r="F14" s="1758">
        <f>(C14+D14)-E14</f>
        <v>31379</v>
      </c>
      <c r="G14" s="843">
        <v>3</v>
      </c>
      <c r="H14" s="765">
        <v>10460</v>
      </c>
      <c r="I14" s="765">
        <v>10460</v>
      </c>
      <c r="J14" s="765"/>
      <c r="K14" s="1767">
        <f>(H14+I14)-J14</f>
        <v>20920</v>
      </c>
      <c r="L14" s="1767">
        <f>F14-K14</f>
        <v>10459</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44572</v>
      </c>
      <c r="D16" s="1758">
        <f>SUM(D3,D5:D6,D8:D10,D12:D15)</f>
        <v>25665</v>
      </c>
      <c r="E16" s="1758">
        <f>SUM(E3,E5:E6,E8:E10,E12:E15)</f>
        <v>0</v>
      </c>
      <c r="F16" s="1758">
        <f>SUM(F3,F5:F6,F8:F10,F12:F15)</f>
        <v>70237</v>
      </c>
      <c r="G16" s="843"/>
      <c r="H16" s="1758">
        <f>SUM(H3,H6,H8:H10,H12:H14,)</f>
        <v>11779</v>
      </c>
      <c r="I16" s="1758">
        <f>SUM(I3,I6,I8:I10,I12:I14,)</f>
        <v>16912</v>
      </c>
      <c r="J16" s="1758">
        <f>SUM(J3,J6,J8:J10,J12:J14,)</f>
        <v>0</v>
      </c>
      <c r="K16" s="1758">
        <f>(H16+I16)-J16</f>
        <v>28691</v>
      </c>
      <c r="L16" s="1758">
        <f>F16-K16</f>
        <v>41546</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21401</v>
      </c>
      <c r="G17" s="837">
        <v>10</v>
      </c>
      <c r="H17" s="769"/>
      <c r="I17" s="1767">
        <f>F17/G17</f>
        <v>2140.1</v>
      </c>
      <c r="J17" s="769"/>
      <c r="K17" s="795"/>
      <c r="L17" s="795"/>
    </row>
    <row r="18" spans="1:12" ht="14.25" thickTop="1" thickBot="1" x14ac:dyDescent="0.25">
      <c r="A18" s="1765" t="s">
        <v>685</v>
      </c>
      <c r="B18" s="1766"/>
      <c r="C18" s="771"/>
      <c r="D18" s="771"/>
      <c r="E18" s="771"/>
      <c r="F18" s="850"/>
      <c r="G18" s="851"/>
      <c r="H18" s="773"/>
      <c r="I18" s="1758">
        <f>SUM(I16,I17)</f>
        <v>19052.099999999999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3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1972</v>
      </c>
      <c r="B1" s="2278"/>
      <c r="C1" s="2278"/>
      <c r="D1" s="2278"/>
      <c r="E1" s="2278"/>
      <c r="F1" s="2279"/>
      <c r="G1" s="855"/>
    </row>
    <row r="2" spans="1:7" ht="15" customHeight="1" thickBot="1" x14ac:dyDescent="0.25">
      <c r="A2" s="2280" t="s">
        <v>477</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4707985</v>
      </c>
      <c r="G8" s="865"/>
    </row>
    <row r="9" spans="1:7" x14ac:dyDescent="0.2">
      <c r="A9" s="869" t="s">
        <v>460</v>
      </c>
      <c r="B9" s="870" t="s">
        <v>1875</v>
      </c>
      <c r="C9" s="871"/>
      <c r="D9" s="869" t="s">
        <v>501</v>
      </c>
      <c r="E9" s="868"/>
      <c r="F9" s="1907">
        <f>'Expenditures 15-22'!K151</f>
        <v>0</v>
      </c>
      <c r="G9" s="872"/>
    </row>
    <row r="10" spans="1:7" x14ac:dyDescent="0.2">
      <c r="A10" s="869" t="s">
        <v>499</v>
      </c>
      <c r="B10" s="870" t="s">
        <v>1876</v>
      </c>
      <c r="C10" s="871"/>
      <c r="D10" s="869" t="s">
        <v>501</v>
      </c>
      <c r="E10" s="868"/>
      <c r="F10" s="1907">
        <f>'Expenditures 15-22'!K174</f>
        <v>0</v>
      </c>
      <c r="G10" s="872"/>
    </row>
    <row r="11" spans="1:7" x14ac:dyDescent="0.2">
      <c r="A11" s="869" t="s">
        <v>461</v>
      </c>
      <c r="B11" s="870" t="s">
        <v>1877</v>
      </c>
      <c r="C11" s="871"/>
      <c r="D11" s="869" t="s">
        <v>501</v>
      </c>
      <c r="E11" s="868"/>
      <c r="F11" s="1907">
        <f>'Expenditures 15-22'!K210</f>
        <v>0</v>
      </c>
      <c r="G11" s="872"/>
    </row>
    <row r="12" spans="1:7" x14ac:dyDescent="0.2">
      <c r="A12" s="869" t="s">
        <v>462</v>
      </c>
      <c r="B12" s="870" t="s">
        <v>1878</v>
      </c>
      <c r="C12" s="871"/>
      <c r="D12" s="869" t="s">
        <v>501</v>
      </c>
      <c r="E12" s="868"/>
      <c r="F12" s="1907">
        <f>'Expenditures 15-22'!K295</f>
        <v>0</v>
      </c>
      <c r="G12" s="872"/>
    </row>
    <row r="13" spans="1:7" x14ac:dyDescent="0.2">
      <c r="A13" s="869" t="s">
        <v>106</v>
      </c>
      <c r="B13" s="870" t="s">
        <v>1879</v>
      </c>
      <c r="C13" s="871"/>
      <c r="D13" s="869" t="s">
        <v>501</v>
      </c>
      <c r="E13" s="868"/>
      <c r="F13" s="1907">
        <f>'Expenditures 15-22'!K342</f>
        <v>0</v>
      </c>
      <c r="G13" s="873"/>
    </row>
    <row r="14" spans="1:7" ht="12" customHeight="1" thickBot="1" x14ac:dyDescent="0.25">
      <c r="A14" s="1768"/>
      <c r="B14" s="1769"/>
      <c r="C14" s="1770"/>
      <c r="D14" s="1771" t="s">
        <v>501</v>
      </c>
      <c r="E14" s="1772" t="s">
        <v>958</v>
      </c>
      <c r="F14" s="1773">
        <f>SUM(F8:F13)</f>
        <v>4707985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2">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3925</v>
      </c>
      <c r="G53" s="865"/>
    </row>
    <row r="54" spans="1:7" x14ac:dyDescent="0.2">
      <c r="A54" s="869" t="s">
        <v>459</v>
      </c>
      <c r="B54" s="869" t="s">
        <v>1476</v>
      </c>
      <c r="C54" s="889" t="s">
        <v>982</v>
      </c>
      <c r="D54" s="885" t="s">
        <v>1095</v>
      </c>
      <c r="E54" s="868"/>
      <c r="F54" s="1911">
        <f>'Expenditures 15-22'!G114</f>
        <v>25665</v>
      </c>
      <c r="G54" s="865"/>
    </row>
    <row r="55" spans="1:7" x14ac:dyDescent="0.2">
      <c r="A55" s="869" t="s">
        <v>459</v>
      </c>
      <c r="B55" s="869" t="s">
        <v>1477</v>
      </c>
      <c r="C55" s="889" t="s">
        <v>982</v>
      </c>
      <c r="D55" s="885" t="s">
        <v>291</v>
      </c>
      <c r="E55" s="868"/>
      <c r="F55" s="1911">
        <f>'Expenditures 15-22'!I114</f>
        <v>21401</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1">
        <f>'Expenditures 15-22'!K139</f>
        <v>0</v>
      </c>
      <c r="G57" s="865"/>
    </row>
    <row r="58" spans="1:7" x14ac:dyDescent="0.2">
      <c r="A58" s="869" t="s">
        <v>460</v>
      </c>
      <c r="B58" s="869" t="s">
        <v>1881</v>
      </c>
      <c r="C58" s="886" t="s">
        <v>982</v>
      </c>
      <c r="D58" s="885" t="s">
        <v>1095</v>
      </c>
      <c r="E58" s="868"/>
      <c r="F58" s="1913">
        <f>'Expenditures 15-22'!G151</f>
        <v>0</v>
      </c>
      <c r="G58" s="865"/>
    </row>
    <row r="59" spans="1:7" x14ac:dyDescent="0.2">
      <c r="A59" s="893" t="s">
        <v>460</v>
      </c>
      <c r="B59" s="856" t="s">
        <v>1882</v>
      </c>
      <c r="C59" s="894" t="s">
        <v>982</v>
      </c>
      <c r="D59" s="856" t="s">
        <v>291</v>
      </c>
      <c r="F59" s="1914">
        <f>'Expenditures 15-22'!I151</f>
        <v>0</v>
      </c>
      <c r="G59" s="865"/>
    </row>
    <row r="60" spans="1:7" x14ac:dyDescent="0.2">
      <c r="A60" s="893" t="s">
        <v>499</v>
      </c>
      <c r="B60" s="856" t="s">
        <v>1883</v>
      </c>
      <c r="C60" s="894">
        <v>4000</v>
      </c>
      <c r="D60" s="856" t="s">
        <v>312</v>
      </c>
      <c r="F60" s="1912">
        <f>'Expenditures 15-22'!K160</f>
        <v>0</v>
      </c>
      <c r="G60" s="865"/>
    </row>
    <row r="61" spans="1:7" x14ac:dyDescent="0.2">
      <c r="A61" s="895" t="s">
        <v>499</v>
      </c>
      <c r="B61" s="895" t="s">
        <v>1884</v>
      </c>
      <c r="C61" s="896" t="str">
        <f>'Expenditures 15-22'!B170</f>
        <v>5300</v>
      </c>
      <c r="D61" s="897" t="s">
        <v>311</v>
      </c>
      <c r="E61" s="879"/>
      <c r="F61" s="1911">
        <f>'Expenditures 15-22'!K170</f>
        <v>0</v>
      </c>
      <c r="G61" s="865"/>
    </row>
    <row r="62" spans="1:7" x14ac:dyDescent="0.2">
      <c r="A62" s="869" t="s">
        <v>461</v>
      </c>
      <c r="B62" s="869" t="s">
        <v>1885</v>
      </c>
      <c r="C62" s="886">
        <f>'Expenditures 15-22'!B185</f>
        <v>3000</v>
      </c>
      <c r="D62" s="876" t="s">
        <v>449</v>
      </c>
      <c r="E62" s="868"/>
      <c r="F62" s="1911">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1887</v>
      </c>
      <c r="C64" s="896" t="str">
        <f>'Expenditures 15-22'!B206</f>
        <v>5300</v>
      </c>
      <c r="D64" s="892" t="s">
        <v>311</v>
      </c>
      <c r="E64" s="868"/>
      <c r="F64" s="1911">
        <f>'Expenditures 15-22'!K206</f>
        <v>0</v>
      </c>
      <c r="G64" s="865"/>
    </row>
    <row r="65" spans="1:8" x14ac:dyDescent="0.2">
      <c r="A65" s="869" t="s">
        <v>461</v>
      </c>
      <c r="B65" s="869" t="s">
        <v>1888</v>
      </c>
      <c r="C65" s="886" t="s">
        <v>982</v>
      </c>
      <c r="D65" s="885" t="s">
        <v>1095</v>
      </c>
      <c r="E65" s="868"/>
      <c r="F65" s="1911">
        <f>'Expenditures 15-22'!G210</f>
        <v>0</v>
      </c>
      <c r="G65" s="865"/>
    </row>
    <row r="66" spans="1:8" x14ac:dyDescent="0.2">
      <c r="A66" s="869" t="s">
        <v>461</v>
      </c>
      <c r="B66" s="869" t="s">
        <v>1889</v>
      </c>
      <c r="C66" s="886" t="s">
        <v>982</v>
      </c>
      <c r="D66" s="885" t="s">
        <v>291</v>
      </c>
      <c r="E66" s="868"/>
      <c r="F66" s="1911">
        <f>'Expenditures 15-22'!I210</f>
        <v>0</v>
      </c>
      <c r="G66" s="865"/>
    </row>
    <row r="67" spans="1:8" x14ac:dyDescent="0.2">
      <c r="A67" s="869" t="s">
        <v>462</v>
      </c>
      <c r="B67" s="869" t="s">
        <v>1890</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1892</v>
      </c>
      <c r="C70" s="886">
        <f>'Expenditures 15-22'!B221</f>
        <v>1300</v>
      </c>
      <c r="D70" s="887" t="str">
        <f>'Expenditures 15-22'!A221</f>
        <v>Adult/Continuing Education Programs</v>
      </c>
      <c r="E70" s="868"/>
      <c r="F70" s="1911">
        <f>'Expenditures 15-22'!K221</f>
        <v>0</v>
      </c>
      <c r="G70" s="865"/>
    </row>
    <row r="71" spans="1:8" x14ac:dyDescent="0.2">
      <c r="A71" s="869" t="s">
        <v>462</v>
      </c>
      <c r="B71" s="869" t="s">
        <v>1893</v>
      </c>
      <c r="C71" s="886">
        <f>'Expenditures 15-22'!B224</f>
        <v>1600</v>
      </c>
      <c r="D71" s="887" t="str">
        <f>'Expenditures 15-22'!A224</f>
        <v>Summer School Programs</v>
      </c>
      <c r="E71" s="868"/>
      <c r="F71" s="1911">
        <f>'Expenditures 15-22'!K224</f>
        <v>0</v>
      </c>
      <c r="G71" s="865"/>
    </row>
    <row r="72" spans="1:8" x14ac:dyDescent="0.2">
      <c r="A72" s="869" t="s">
        <v>462</v>
      </c>
      <c r="B72" s="869" t="s">
        <v>1894</v>
      </c>
      <c r="C72" s="886">
        <f>'Expenditures 15-22'!B280</f>
        <v>3000</v>
      </c>
      <c r="D72" s="876" t="s">
        <v>449</v>
      </c>
      <c r="E72" s="868"/>
      <c r="F72" s="1911">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1896</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1897</v>
      </c>
      <c r="E76" s="1772" t="s">
        <v>958</v>
      </c>
      <c r="F76" s="1776">
        <f>SUM(F18:F74)</f>
        <v>50991</v>
      </c>
      <c r="G76" s="865"/>
    </row>
    <row r="77" spans="1:8" s="893" customFormat="1" ht="12" customHeight="1" thickTop="1" thickBot="1" x14ac:dyDescent="0.25">
      <c r="A77" s="1777"/>
      <c r="B77" s="1774"/>
      <c r="C77" s="1770"/>
      <c r="D77" s="1775" t="s">
        <v>1898</v>
      </c>
      <c r="E77" s="1772"/>
      <c r="F77" s="1778">
        <f>(F14-F76)</f>
        <v>4656994</v>
      </c>
      <c r="G77" s="869"/>
    </row>
    <row r="78" spans="1:8" s="893" customFormat="1" ht="12" customHeight="1" thickTop="1" x14ac:dyDescent="0.2">
      <c r="A78" s="1779"/>
      <c r="B78" s="1774"/>
      <c r="C78" s="1770"/>
      <c r="D78" s="1775" t="s">
        <v>2059</v>
      </c>
      <c r="E78" s="1772"/>
      <c r="F78" s="898">
        <v>0</v>
      </c>
      <c r="G78" s="899"/>
      <c r="H78" s="869"/>
    </row>
    <row r="79" spans="1:8" s="893" customFormat="1" ht="12" customHeight="1" thickBot="1" x14ac:dyDescent="0.25">
      <c r="A79" s="1780"/>
      <c r="B79" s="1774"/>
      <c r="C79" s="1770"/>
      <c r="D79" s="1775" t="s">
        <v>1899</v>
      </c>
      <c r="E79" s="1772" t="s">
        <v>958</v>
      </c>
      <c r="F79" s="178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74" t="s">
        <v>1105</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0</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2000</v>
      </c>
      <c r="C105" s="913">
        <v>3100</v>
      </c>
      <c r="D105" s="919" t="str">
        <f>'Revenues 9-14'!A132</f>
        <v>Total Special Education</v>
      </c>
      <c r="E105" s="906"/>
      <c r="F105" s="1787">
        <f>SUM('Revenues 9-14'!C132:D132,'Revenues 9-14'!F132)</f>
        <v>0</v>
      </c>
      <c r="G105" s="912"/>
    </row>
    <row r="106" spans="1:7" x14ac:dyDescent="0.2">
      <c r="A106" s="908" t="s">
        <v>673</v>
      </c>
      <c r="B106" s="908" t="s">
        <v>2001</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2002</v>
      </c>
      <c r="C107" s="920">
        <v>3300</v>
      </c>
      <c r="D107" s="911" t="str">
        <f>'Revenues 9-14'!A145</f>
        <v>Total Bilingual Ed</v>
      </c>
      <c r="E107" s="906"/>
      <c r="F107" s="1787">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7">
        <f>'Revenues 9-14'!C146</f>
        <v>0</v>
      </c>
      <c r="G108" s="912"/>
    </row>
    <row r="109" spans="1:7" x14ac:dyDescent="0.2">
      <c r="A109" s="908" t="s">
        <v>673</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0</v>
      </c>
      <c r="G110" s="912"/>
    </row>
    <row r="111" spans="1:7" x14ac:dyDescent="0.2">
      <c r="A111" s="908" t="s">
        <v>668</v>
      </c>
      <c r="B111" s="908" t="s">
        <v>2006</v>
      </c>
      <c r="C111" s="922">
        <v>3500</v>
      </c>
      <c r="D111" s="911" t="str">
        <f>'Revenues 9-14'!A155</f>
        <v>Total Transportation</v>
      </c>
      <c r="E111" s="906"/>
      <c r="F111" s="1787">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7">
        <f>'Revenues 9-14'!C156</f>
        <v>0</v>
      </c>
      <c r="G112" s="912"/>
    </row>
    <row r="113" spans="1:7" x14ac:dyDescent="0.2">
      <c r="A113" s="908" t="s">
        <v>668</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5">
        <f>SUM('Revenues 9-14'!C163:G163)</f>
        <v>0</v>
      </c>
      <c r="G118" s="912"/>
    </row>
    <row r="119" spans="1:7" x14ac:dyDescent="0.2">
      <c r="A119" s="923" t="s">
        <v>504</v>
      </c>
      <c r="B119" s="923" t="s">
        <v>2014</v>
      </c>
      <c r="C119" s="924">
        <f>'Revenues 9-14'!B164</f>
        <v>3815</v>
      </c>
      <c r="D119" s="925" t="str">
        <f>'Revenues 9-14'!A164</f>
        <v>State Charter Schools</v>
      </c>
      <c r="E119" s="906"/>
      <c r="F119" s="1905">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7">
        <f>'Revenues 9-14'!D167</f>
        <v>0</v>
      </c>
      <c r="G120" s="930"/>
    </row>
    <row r="121" spans="1:7" x14ac:dyDescent="0.2">
      <c r="A121" s="927" t="s">
        <v>500</v>
      </c>
      <c r="B121" s="927" t="s">
        <v>2016</v>
      </c>
      <c r="C121" s="928">
        <f>'Revenues 9-14'!B168</f>
        <v>3999</v>
      </c>
      <c r="D121" s="929" t="s">
        <v>543</v>
      </c>
      <c r="E121" s="931"/>
      <c r="F121" s="1787">
        <f>SUM('Revenues 9-14'!C168:G168,'Revenues 9-14'!J168)</f>
        <v>65037</v>
      </c>
      <c r="G121" s="930"/>
    </row>
    <row r="122" spans="1:7" x14ac:dyDescent="0.2">
      <c r="A122" s="927" t="s">
        <v>459</v>
      </c>
      <c r="B122" s="927" t="s">
        <v>2017</v>
      </c>
      <c r="C122" s="932">
        <f>'Revenues 9-14'!B177</f>
        <v>4045</v>
      </c>
      <c r="D122" s="929" t="str">
        <f>'Revenues 9-14'!A177 &amp; " (Subtract)"</f>
        <v>Head Start (Subtract)</v>
      </c>
      <c r="E122" s="906"/>
      <c r="F122" s="1787">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2019</v>
      </c>
      <c r="C124" s="932">
        <v>4100</v>
      </c>
      <c r="D124" s="933" t="str">
        <f>'Revenues 9-14'!A188</f>
        <v>Total Title V</v>
      </c>
      <c r="E124" s="906"/>
      <c r="F124" s="1787">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7">
        <f>SUM('Revenues 9-14'!C198,'Revenues 9-14'!G198)</f>
        <v>0</v>
      </c>
      <c r="G125" s="930"/>
    </row>
    <row r="126" spans="1:7" x14ac:dyDescent="0.2">
      <c r="A126" s="927" t="s">
        <v>668</v>
      </c>
      <c r="B126" s="927" t="s">
        <v>2021</v>
      </c>
      <c r="C126" s="932">
        <v>4300</v>
      </c>
      <c r="D126" s="933" t="str">
        <f>'Revenues 9-14'!A204</f>
        <v>Total Title I</v>
      </c>
      <c r="E126" s="906"/>
      <c r="F126" s="1787">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7">
        <f>SUM('Revenues 9-14'!C213:D213,'Revenues 9-14'!F213:G213)</f>
        <v>1408680</v>
      </c>
      <c r="G128" s="930"/>
    </row>
    <row r="129" spans="1:7" x14ac:dyDescent="0.2">
      <c r="A129" s="927" t="s">
        <v>668</v>
      </c>
      <c r="B129" s="927" t="s">
        <v>2024</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2041</v>
      </c>
      <c r="C157" s="940" t="s">
        <v>841</v>
      </c>
      <c r="D157" s="941" t="s">
        <v>777</v>
      </c>
      <c r="E157" s="942"/>
      <c r="F157" s="1787">
        <f>SUM(F133:F156)</f>
        <v>0</v>
      </c>
      <c r="G157" s="905"/>
    </row>
    <row r="158" spans="1:7" s="867" customFormat="1" x14ac:dyDescent="0.2">
      <c r="A158" s="938" t="s">
        <v>459</v>
      </c>
      <c r="B158" s="939" t="s">
        <v>2042</v>
      </c>
      <c r="C158" s="940" t="s">
        <v>1427</v>
      </c>
      <c r="D158" s="941" t="s">
        <v>1428</v>
      </c>
      <c r="E158" s="942"/>
      <c r="F158" s="1787">
        <f>SUM('Revenues 9-14'!C253)</f>
        <v>0</v>
      </c>
      <c r="G158" s="905"/>
    </row>
    <row r="159" spans="1:7" s="867" customFormat="1" x14ac:dyDescent="0.2">
      <c r="A159" s="938" t="s">
        <v>500</v>
      </c>
      <c r="B159" s="939" t="s">
        <v>2043</v>
      </c>
      <c r="C159" s="940" t="s">
        <v>1466</v>
      </c>
      <c r="D159" s="941" t="s">
        <v>1467</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5">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7">
        <f>SUM('Revenues 9-14'!C263:D263,'Revenues 9-14'!F263:G263)</f>
        <v>68315</v>
      </c>
      <c r="G168" s="947">
        <v>6320</v>
      </c>
    </row>
    <row r="169" spans="1:7" x14ac:dyDescent="0.2">
      <c r="A169" s="927" t="s">
        <v>668</v>
      </c>
      <c r="B169" s="927" t="s">
        <v>2051</v>
      </c>
      <c r="C169" s="932">
        <f>'Revenues 9-14'!B264</f>
        <v>4992</v>
      </c>
      <c r="D169" s="933" t="str">
        <f>'Revenues 9-14'!A264</f>
        <v>Medicaid Matching Funds - Fee-for-Service Program</v>
      </c>
      <c r="E169" s="906"/>
      <c r="F169" s="1787">
        <f>SUM('Revenues 9-14'!C264:D264,'Revenues 9-14'!F264:G264)</f>
        <v>133197</v>
      </c>
      <c r="G169" s="947"/>
    </row>
    <row r="170" spans="1:7" x14ac:dyDescent="0.2">
      <c r="A170" s="948" t="s">
        <v>668</v>
      </c>
      <c r="B170" s="944" t="s">
        <v>2052</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1918</v>
      </c>
      <c r="C171" s="1918">
        <v>3100</v>
      </c>
      <c r="D171" s="1919" t="s">
        <v>1920</v>
      </c>
      <c r="E171" s="906"/>
      <c r="F171" s="1904"/>
      <c r="G171" s="927"/>
    </row>
    <row r="172" spans="1:7" x14ac:dyDescent="0.2">
      <c r="A172" s="1916" t="s">
        <v>664</v>
      </c>
      <c r="B172" s="1917" t="s">
        <v>1918</v>
      </c>
      <c r="C172" s="1918">
        <v>3300</v>
      </c>
      <c r="D172" s="1919" t="s">
        <v>1921</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958</v>
      </c>
      <c r="F174" s="1786">
        <f>SUM(F84:F132,F157:F172)</f>
        <v>1675229</v>
      </c>
    </row>
    <row r="175" spans="1:7" ht="12" customHeight="1" x14ac:dyDescent="0.2">
      <c r="A175" s="1768"/>
      <c r="B175" s="1782"/>
      <c r="C175" s="1783"/>
      <c r="D175" s="1784" t="s">
        <v>2054</v>
      </c>
      <c r="E175" s="1785"/>
      <c r="F175" s="1787">
        <f>'PCTC-OEPP 27-28'!F77-F174</f>
        <v>2981765</v>
      </c>
    </row>
    <row r="176" spans="1:7" ht="12" customHeight="1" x14ac:dyDescent="0.2">
      <c r="A176" s="1768"/>
      <c r="B176" s="1782"/>
      <c r="C176" s="1783"/>
      <c r="D176" s="1784" t="s">
        <v>1816</v>
      </c>
      <c r="E176" s="1785"/>
      <c r="F176" s="1787">
        <f>'Cap Outlay Deprec 26'!I18</f>
        <v>19052.099999999999</v>
      </c>
    </row>
    <row r="177" spans="1:7" ht="12" customHeight="1" x14ac:dyDescent="0.2">
      <c r="A177" s="1768"/>
      <c r="B177" s="1782"/>
      <c r="C177" s="1783"/>
      <c r="D177" s="1784" t="s">
        <v>2055</v>
      </c>
      <c r="E177" s="1785"/>
      <c r="F177" s="1787">
        <f>F175+F176</f>
        <v>3000817.1</v>
      </c>
    </row>
    <row r="178" spans="1:7" ht="12" customHeight="1" x14ac:dyDescent="0.2">
      <c r="A178" s="1768"/>
      <c r="B178" s="1788"/>
      <c r="C178" s="1783"/>
      <c r="D178" s="1784" t="str">
        <f>D78</f>
        <v>9 Month ADA from District Average Daily Attendance/Prior General State Aid Inquiry 2018-2019</v>
      </c>
      <c r="E178" s="1785"/>
      <c r="F178" s="1789">
        <f>'PCTC-OEPP 27-28'!F78</f>
        <v>0</v>
      </c>
      <c r="G178" s="930"/>
    </row>
    <row r="179" spans="1:7" ht="12" customHeight="1" thickBot="1" x14ac:dyDescent="0.25">
      <c r="A179" s="1768"/>
      <c r="B179" s="1788"/>
      <c r="C179" s="1783"/>
      <c r="D179" s="1784" t="s">
        <v>2056</v>
      </c>
      <c r="E179" s="1785" t="s">
        <v>1545</v>
      </c>
      <c r="F179" s="1790" t="e">
        <f>F177/F178</f>
        <v>#DIV/0!</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0" customFormat="1" ht="12.2" customHeight="1" x14ac:dyDescent="0.2">
      <c r="A182" s="1920" t="s">
        <v>1991</v>
      </c>
      <c r="B182" s="1921"/>
      <c r="C182" s="1922"/>
      <c r="D182" s="1921"/>
      <c r="E182" s="1922"/>
      <c r="F182" s="1921"/>
      <c r="G182" s="1921"/>
    </row>
    <row r="183" spans="1:7" s="1920" customFormat="1" ht="12.2" customHeight="1" x14ac:dyDescent="0.2">
      <c r="A183" s="1923" t="s">
        <v>1993</v>
      </c>
      <c r="C183" s="1922"/>
      <c r="D183" s="1921"/>
      <c r="E183" s="1922"/>
      <c r="F183" s="1921"/>
      <c r="G183" s="1921"/>
    </row>
    <row r="184" spans="1:7" ht="12" customHeight="1" x14ac:dyDescent="0.2">
      <c r="C184" s="949"/>
      <c r="D184" s="930"/>
      <c r="E184" s="949"/>
      <c r="F184" s="930"/>
      <c r="G184" s="930"/>
    </row>
    <row r="185" spans="1:7" x14ac:dyDescent="0.2">
      <c r="A185" s="1924" t="s">
        <v>1923</v>
      </c>
      <c r="B185" s="1925"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C22" sqref="C2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88" t="s">
        <v>1817</v>
      </c>
      <c r="B4" s="2289"/>
      <c r="C4" s="2289"/>
      <c r="D4" s="2289"/>
      <c r="E4" s="2289"/>
      <c r="F4" s="2289"/>
      <c r="G4" s="2290"/>
    </row>
    <row r="5" spans="1:7" x14ac:dyDescent="0.25">
      <c r="A5" s="2291"/>
      <c r="B5" s="2292"/>
      <c r="C5" s="2292"/>
      <c r="D5" s="2292"/>
      <c r="E5" s="2292"/>
      <c r="F5" s="2292"/>
      <c r="G5" s="2293"/>
    </row>
    <row r="6" spans="1:7" ht="18.75" x14ac:dyDescent="0.25">
      <c r="A6" s="1935" t="s">
        <v>2063</v>
      </c>
      <c r="B6" s="1936"/>
      <c r="C6" s="1936"/>
      <c r="D6" s="1936"/>
      <c r="E6" s="1936"/>
      <c r="F6" s="1936"/>
      <c r="G6" s="1937"/>
    </row>
    <row r="7" spans="1:7" ht="18.75" x14ac:dyDescent="0.25">
      <c r="A7" s="1532" t="s">
        <v>1818</v>
      </c>
      <c r="B7" s="1533"/>
      <c r="C7" s="1533"/>
      <c r="D7" s="1533"/>
      <c r="E7" s="1533"/>
      <c r="F7" s="1533"/>
      <c r="G7" s="1534"/>
    </row>
    <row r="8" spans="1:7" ht="30.75" customHeight="1" x14ac:dyDescent="0.25">
      <c r="A8" s="2294" t="s">
        <v>1930</v>
      </c>
      <c r="B8" s="2295"/>
      <c r="C8" s="2295"/>
      <c r="D8" s="2295"/>
      <c r="E8" s="2295"/>
      <c r="F8" s="2295"/>
      <c r="G8" s="2296"/>
    </row>
    <row r="9" spans="1:7" ht="15.75" customHeight="1" x14ac:dyDescent="0.25">
      <c r="A9" s="2297" t="s">
        <v>1905</v>
      </c>
      <c r="B9" s="2298"/>
      <c r="C9" s="2298"/>
      <c r="D9" s="2298"/>
      <c r="E9" s="2298"/>
      <c r="F9" s="2298"/>
      <c r="G9" s="2299"/>
    </row>
    <row r="10" spans="1:7" ht="35.25" customHeight="1" x14ac:dyDescent="0.25">
      <c r="A10" s="2294" t="s">
        <v>2062</v>
      </c>
      <c r="B10" s="2295"/>
      <c r="C10" s="2295"/>
      <c r="D10" s="2295"/>
      <c r="E10" s="2295"/>
      <c r="F10" s="2295"/>
      <c r="G10" s="2296"/>
    </row>
    <row r="11" spans="1:7" ht="15" customHeight="1" x14ac:dyDescent="0.25">
      <c r="A11" s="1535" t="s">
        <v>1819</v>
      </c>
      <c r="B11" s="1536"/>
      <c r="C11" s="1536"/>
      <c r="D11" s="1536"/>
      <c r="E11" s="1536"/>
      <c r="F11" s="1536"/>
      <c r="G11" s="1537"/>
    </row>
    <row r="12" spans="1:7" ht="17.25" customHeight="1" x14ac:dyDescent="0.25">
      <c r="A12" s="2294" t="s">
        <v>1932</v>
      </c>
      <c r="B12" s="2295"/>
      <c r="C12" s="2295"/>
      <c r="D12" s="2295"/>
      <c r="E12" s="2295"/>
      <c r="F12" s="2295"/>
      <c r="G12" s="2296"/>
    </row>
    <row r="13" spans="1:7" ht="15" customHeight="1" x14ac:dyDescent="0.25">
      <c r="A13" s="1535" t="s">
        <v>1824</v>
      </c>
      <c r="B13" s="1536"/>
      <c r="C13" s="1536"/>
      <c r="D13" s="1536"/>
      <c r="E13" s="1536"/>
      <c r="F13" s="1536"/>
      <c r="G13" s="1537"/>
    </row>
    <row r="14" spans="1:7" ht="32.25" customHeight="1" x14ac:dyDescent="0.25">
      <c r="A14" s="2285" t="s">
        <v>1973</v>
      </c>
      <c r="B14" s="2286"/>
      <c r="C14" s="2286"/>
      <c r="D14" s="2286"/>
      <c r="E14" s="2286"/>
      <c r="F14" s="2286"/>
      <c r="G14" s="2287"/>
    </row>
    <row r="15" spans="1:7" x14ac:dyDescent="0.25">
      <c r="A15" s="1659" t="s">
        <v>1832</v>
      </c>
      <c r="B15" s="1660"/>
      <c r="C15" s="1660"/>
      <c r="D15" s="1660"/>
      <c r="E15" s="1660"/>
      <c r="F15" s="1660"/>
      <c r="G15" s="1661"/>
    </row>
    <row r="16" spans="1:7" ht="61.5" customHeight="1" x14ac:dyDescent="0.25">
      <c r="A16" s="1544" t="s">
        <v>1825</v>
      </c>
      <c r="B16" s="1544" t="s">
        <v>1826</v>
      </c>
      <c r="C16" s="1544" t="s">
        <v>1827</v>
      </c>
      <c r="D16" s="1545" t="s">
        <v>1828</v>
      </c>
      <c r="E16" s="1545" t="s">
        <v>1820</v>
      </c>
      <c r="F16" s="1545" t="s">
        <v>1829</v>
      </c>
      <c r="G16" s="1545" t="s">
        <v>1830</v>
      </c>
    </row>
    <row r="17" spans="1:8" x14ac:dyDescent="0.25">
      <c r="A17" s="1646" t="s">
        <v>1833</v>
      </c>
      <c r="B17" s="1647" t="s">
        <v>1823</v>
      </c>
      <c r="C17" s="1648" t="s">
        <v>1821</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56" t="s">
        <v>2100</v>
      </c>
      <c r="B18" s="1957" t="s">
        <v>2101</v>
      </c>
      <c r="C18" s="1958" t="s">
        <v>2100</v>
      </c>
      <c r="D18" s="1842">
        <v>1</v>
      </c>
      <c r="E18" s="1538">
        <f t="shared" ref="E18:E142" si="0">IF(D18&lt;=25000,D18,IF(D18&gt;25000,25000,0))</f>
        <v>1</v>
      </c>
      <c r="F18" s="1934">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v>
      </c>
      <c r="G18" s="1791">
        <f>IF(F18=0,0,D18-F18)</f>
        <v>0</v>
      </c>
      <c r="H18" s="1645"/>
    </row>
    <row r="19" spans="1:8" x14ac:dyDescent="0.25">
      <c r="A19" s="1651"/>
      <c r="B19" s="1931"/>
      <c r="C19" s="1654"/>
      <c r="D19" s="1842"/>
      <c r="E19" s="1538">
        <f t="shared" ref="E19:E141" si="2">IF(D19&lt;=25000,D19,IF(D19&gt;25000,25000,0))</f>
        <v>0</v>
      </c>
      <c r="F19" s="1934">
        <f t="shared" si="1"/>
        <v>0</v>
      </c>
      <c r="G19" s="1791">
        <f t="shared" ref="G19:G141" si="3">IF(F19=0,0,D19-F19)</f>
        <v>0</v>
      </c>
    </row>
    <row r="20" spans="1:8" x14ac:dyDescent="0.25">
      <c r="A20" s="1651"/>
      <c r="B20" s="1931"/>
      <c r="C20" s="1654"/>
      <c r="D20" s="1842"/>
      <c r="E20" s="1538">
        <f t="shared" si="2"/>
        <v>0</v>
      </c>
      <c r="F20" s="1934">
        <f t="shared" si="1"/>
        <v>0</v>
      </c>
      <c r="G20" s="1791">
        <f t="shared" si="3"/>
        <v>0</v>
      </c>
    </row>
    <row r="21" spans="1:8" x14ac:dyDescent="0.25">
      <c r="A21" s="1651"/>
      <c r="B21" s="1931"/>
      <c r="C21" s="1654"/>
      <c r="D21" s="1842"/>
      <c r="E21" s="1538">
        <f t="shared" si="2"/>
        <v>0</v>
      </c>
      <c r="F21" s="1934">
        <f t="shared" si="1"/>
        <v>0</v>
      </c>
      <c r="G21" s="1791">
        <f t="shared" si="3"/>
        <v>0</v>
      </c>
    </row>
    <row r="22" spans="1:8" x14ac:dyDescent="0.25">
      <c r="A22" s="1651"/>
      <c r="B22" s="1931"/>
      <c r="C22" s="1654"/>
      <c r="D22" s="1842"/>
      <c r="E22" s="1538">
        <f t="shared" si="2"/>
        <v>0</v>
      </c>
      <c r="F22" s="1934">
        <f t="shared" si="1"/>
        <v>0</v>
      </c>
      <c r="G22" s="1791">
        <f t="shared" si="3"/>
        <v>0</v>
      </c>
    </row>
    <row r="23" spans="1:8" x14ac:dyDescent="0.25">
      <c r="A23" s="1651"/>
      <c r="B23" s="1931"/>
      <c r="C23" s="1654"/>
      <c r="D23" s="1842"/>
      <c r="E23" s="1538">
        <f t="shared" si="2"/>
        <v>0</v>
      </c>
      <c r="F23" s="1934">
        <f t="shared" si="1"/>
        <v>0</v>
      </c>
      <c r="G23" s="1791">
        <f t="shared" si="3"/>
        <v>0</v>
      </c>
    </row>
    <row r="24" spans="1:8" x14ac:dyDescent="0.25">
      <c r="A24" s="1651"/>
      <c r="B24" s="1931"/>
      <c r="C24" s="1654"/>
      <c r="D24" s="1842"/>
      <c r="E24" s="1538">
        <f t="shared" si="2"/>
        <v>0</v>
      </c>
      <c r="F24" s="1934">
        <f t="shared" si="1"/>
        <v>0</v>
      </c>
      <c r="G24" s="1791">
        <f t="shared" si="3"/>
        <v>0</v>
      </c>
    </row>
    <row r="25" spans="1:8" x14ac:dyDescent="0.25">
      <c r="A25" s="1651"/>
      <c r="B25" s="1931"/>
      <c r="C25" s="1654"/>
      <c r="D25" s="1842"/>
      <c r="E25" s="1538">
        <f t="shared" si="2"/>
        <v>0</v>
      </c>
      <c r="F25" s="1934">
        <f t="shared" si="1"/>
        <v>0</v>
      </c>
      <c r="G25" s="1791">
        <f t="shared" si="3"/>
        <v>0</v>
      </c>
    </row>
    <row r="26" spans="1:8" x14ac:dyDescent="0.25">
      <c r="A26" s="1651"/>
      <c r="B26" s="1931"/>
      <c r="C26" s="1654"/>
      <c r="D26" s="1842"/>
      <c r="E26" s="1538">
        <f t="shared" si="2"/>
        <v>0</v>
      </c>
      <c r="F26" s="1934">
        <f t="shared" si="1"/>
        <v>0</v>
      </c>
      <c r="G26" s="1791">
        <f t="shared" si="3"/>
        <v>0</v>
      </c>
    </row>
    <row r="27" spans="1:8" x14ac:dyDescent="0.25">
      <c r="A27" s="1651"/>
      <c r="B27" s="1931"/>
      <c r="C27" s="1652"/>
      <c r="D27" s="1842"/>
      <c r="E27" s="1538">
        <f t="shared" si="2"/>
        <v>0</v>
      </c>
      <c r="F27" s="1934">
        <f t="shared" si="1"/>
        <v>0</v>
      </c>
      <c r="G27" s="1791">
        <f t="shared" si="3"/>
        <v>0</v>
      </c>
    </row>
    <row r="28" spans="1:8" x14ac:dyDescent="0.25">
      <c r="A28" s="1651"/>
      <c r="B28" s="1931"/>
      <c r="C28" s="1652"/>
      <c r="D28" s="1842"/>
      <c r="E28" s="1538">
        <f t="shared" si="2"/>
        <v>0</v>
      </c>
      <c r="F28" s="1934">
        <f t="shared" si="1"/>
        <v>0</v>
      </c>
      <c r="G28" s="1791">
        <f t="shared" si="3"/>
        <v>0</v>
      </c>
    </row>
    <row r="29" spans="1:8" x14ac:dyDescent="0.25">
      <c r="A29" s="1651"/>
      <c r="B29" s="1931"/>
      <c r="C29" s="1652"/>
      <c r="D29" s="1842"/>
      <c r="E29" s="1538">
        <f t="shared" si="2"/>
        <v>0</v>
      </c>
      <c r="F29" s="1934">
        <f t="shared" si="1"/>
        <v>0</v>
      </c>
      <c r="G29" s="1791">
        <f t="shared" si="3"/>
        <v>0</v>
      </c>
    </row>
    <row r="30" spans="1:8" x14ac:dyDescent="0.25">
      <c r="A30" s="1651"/>
      <c r="B30" s="1931"/>
      <c r="C30" s="1652"/>
      <c r="D30" s="1842"/>
      <c r="E30" s="1538">
        <f t="shared" si="2"/>
        <v>0</v>
      </c>
      <c r="F30" s="1934">
        <f t="shared" si="1"/>
        <v>0</v>
      </c>
      <c r="G30" s="1791">
        <f t="shared" si="3"/>
        <v>0</v>
      </c>
    </row>
    <row r="31" spans="1:8" x14ac:dyDescent="0.25">
      <c r="A31" s="1651"/>
      <c r="B31" s="1931"/>
      <c r="C31" s="1652"/>
      <c r="D31" s="1842"/>
      <c r="E31" s="1538">
        <f t="shared" si="2"/>
        <v>0</v>
      </c>
      <c r="F31" s="1934">
        <f t="shared" si="1"/>
        <v>0</v>
      </c>
      <c r="G31" s="1791">
        <f t="shared" si="3"/>
        <v>0</v>
      </c>
    </row>
    <row r="32" spans="1:8" x14ac:dyDescent="0.25">
      <c r="A32" s="1651"/>
      <c r="B32" s="1931"/>
      <c r="C32" s="1652"/>
      <c r="D32" s="1842"/>
      <c r="E32" s="1538">
        <f t="shared" si="2"/>
        <v>0</v>
      </c>
      <c r="F32" s="1934">
        <f t="shared" si="1"/>
        <v>0</v>
      </c>
      <c r="G32" s="1791">
        <f t="shared" si="3"/>
        <v>0</v>
      </c>
    </row>
    <row r="33" spans="1:7" x14ac:dyDescent="0.25">
      <c r="A33" s="1651"/>
      <c r="B33" s="1931"/>
      <c r="C33" s="1652"/>
      <c r="D33" s="1842"/>
      <c r="E33" s="1538">
        <f t="shared" si="2"/>
        <v>0</v>
      </c>
      <c r="F33" s="1934">
        <f t="shared" si="1"/>
        <v>0</v>
      </c>
      <c r="G33" s="1791">
        <f t="shared" si="3"/>
        <v>0</v>
      </c>
    </row>
    <row r="34" spans="1:7" x14ac:dyDescent="0.25">
      <c r="A34" s="1651"/>
      <c r="B34" s="1931"/>
      <c r="C34" s="1652"/>
      <c r="D34" s="1842"/>
      <c r="E34" s="1538">
        <f t="shared" si="2"/>
        <v>0</v>
      </c>
      <c r="F34" s="1934">
        <f t="shared" si="1"/>
        <v>0</v>
      </c>
      <c r="G34" s="1791">
        <f t="shared" si="3"/>
        <v>0</v>
      </c>
    </row>
    <row r="35" spans="1:7" x14ac:dyDescent="0.25">
      <c r="A35" s="1651"/>
      <c r="B35" s="1931"/>
      <c r="C35" s="1652"/>
      <c r="D35" s="1842"/>
      <c r="E35" s="1538">
        <f t="shared" si="2"/>
        <v>0</v>
      </c>
      <c r="F35" s="1934">
        <f t="shared" si="1"/>
        <v>0</v>
      </c>
      <c r="G35" s="1791">
        <f t="shared" si="3"/>
        <v>0</v>
      </c>
    </row>
    <row r="36" spans="1:7" x14ac:dyDescent="0.25">
      <c r="A36" s="1651"/>
      <c r="B36" s="1931"/>
      <c r="C36" s="1652"/>
      <c r="D36" s="1842"/>
      <c r="E36" s="1538">
        <f t="shared" si="2"/>
        <v>0</v>
      </c>
      <c r="F36" s="1934">
        <f t="shared" si="1"/>
        <v>0</v>
      </c>
      <c r="G36" s="1791">
        <f t="shared" si="3"/>
        <v>0</v>
      </c>
    </row>
    <row r="37" spans="1:7" x14ac:dyDescent="0.25">
      <c r="A37" s="1651"/>
      <c r="B37" s="1931"/>
      <c r="C37" s="1652"/>
      <c r="D37" s="1842"/>
      <c r="E37" s="1538">
        <f t="shared" si="2"/>
        <v>0</v>
      </c>
      <c r="F37" s="1934">
        <f t="shared" si="1"/>
        <v>0</v>
      </c>
      <c r="G37" s="1791">
        <f t="shared" si="3"/>
        <v>0</v>
      </c>
    </row>
    <row r="38" spans="1:7" x14ac:dyDescent="0.25">
      <c r="A38" s="1651"/>
      <c r="B38" s="1931"/>
      <c r="C38" s="1652"/>
      <c r="D38" s="1842"/>
      <c r="E38" s="1538">
        <f t="shared" si="2"/>
        <v>0</v>
      </c>
      <c r="F38" s="1934">
        <f t="shared" si="1"/>
        <v>0</v>
      </c>
      <c r="G38" s="1791">
        <f t="shared" si="3"/>
        <v>0</v>
      </c>
    </row>
    <row r="39" spans="1:7" x14ac:dyDescent="0.25">
      <c r="A39" s="1651"/>
      <c r="B39" s="1932"/>
      <c r="C39" s="1652"/>
      <c r="D39" s="1842"/>
      <c r="E39" s="1538">
        <f t="shared" si="2"/>
        <v>0</v>
      </c>
      <c r="F39" s="1934">
        <f t="shared" si="1"/>
        <v>0</v>
      </c>
      <c r="G39" s="1791">
        <f t="shared" si="3"/>
        <v>0</v>
      </c>
    </row>
    <row r="40" spans="1:7" x14ac:dyDescent="0.25">
      <c r="A40" s="1651"/>
      <c r="B40" s="1932"/>
      <c r="C40" s="1652"/>
      <c r="D40" s="1842"/>
      <c r="E40" s="1538">
        <f t="shared" si="2"/>
        <v>0</v>
      </c>
      <c r="F40" s="1934">
        <f t="shared" si="1"/>
        <v>0</v>
      </c>
      <c r="G40" s="1791">
        <f t="shared" si="3"/>
        <v>0</v>
      </c>
    </row>
    <row r="41" spans="1:7" x14ac:dyDescent="0.25">
      <c r="A41" s="1651"/>
      <c r="B41" s="1932"/>
      <c r="C41" s="1652"/>
      <c r="D41" s="1842"/>
      <c r="E41" s="1538">
        <f t="shared" si="2"/>
        <v>0</v>
      </c>
      <c r="F41" s="1934">
        <f t="shared" si="1"/>
        <v>0</v>
      </c>
      <c r="G41" s="1791">
        <f t="shared" si="3"/>
        <v>0</v>
      </c>
    </row>
    <row r="42" spans="1:7" x14ac:dyDescent="0.25">
      <c r="A42" s="1651"/>
      <c r="B42" s="1932"/>
      <c r="C42" s="1652"/>
      <c r="D42" s="1842"/>
      <c r="E42" s="1538">
        <f t="shared" si="2"/>
        <v>0</v>
      </c>
      <c r="F42" s="1934">
        <f t="shared" si="1"/>
        <v>0</v>
      </c>
      <c r="G42" s="1791">
        <f t="shared" si="3"/>
        <v>0</v>
      </c>
    </row>
    <row r="43" spans="1:7" x14ac:dyDescent="0.25">
      <c r="A43" s="1651"/>
      <c r="B43" s="1932"/>
      <c r="C43" s="1652"/>
      <c r="D43" s="1842"/>
      <c r="E43" s="1538">
        <f t="shared" si="2"/>
        <v>0</v>
      </c>
      <c r="F43" s="1934">
        <f t="shared" si="1"/>
        <v>0</v>
      </c>
      <c r="G43" s="1791">
        <f t="shared" si="3"/>
        <v>0</v>
      </c>
    </row>
    <row r="44" spans="1:7" x14ac:dyDescent="0.25">
      <c r="A44" s="1651"/>
      <c r="B44" s="1932"/>
      <c r="C44" s="1652"/>
      <c r="D44" s="1842"/>
      <c r="E44" s="1538">
        <f t="shared" si="2"/>
        <v>0</v>
      </c>
      <c r="F44" s="1934">
        <f t="shared" si="1"/>
        <v>0</v>
      </c>
      <c r="G44" s="1791">
        <f t="shared" si="3"/>
        <v>0</v>
      </c>
    </row>
    <row r="45" spans="1:7" x14ac:dyDescent="0.25">
      <c r="A45" s="1651"/>
      <c r="B45" s="1932"/>
      <c r="C45" s="1652"/>
      <c r="D45" s="1842"/>
      <c r="E45" s="1538">
        <f t="shared" si="2"/>
        <v>0</v>
      </c>
      <c r="F45" s="1934">
        <f t="shared" si="1"/>
        <v>0</v>
      </c>
      <c r="G45" s="1791">
        <f t="shared" si="3"/>
        <v>0</v>
      </c>
    </row>
    <row r="46" spans="1:7" x14ac:dyDescent="0.25">
      <c r="A46" s="1651"/>
      <c r="B46" s="1932"/>
      <c r="C46" s="1652"/>
      <c r="D46" s="1842"/>
      <c r="E46" s="1538">
        <f t="shared" si="2"/>
        <v>0</v>
      </c>
      <c r="F46" s="1934">
        <f t="shared" si="1"/>
        <v>0</v>
      </c>
      <c r="G46" s="1791">
        <f t="shared" si="3"/>
        <v>0</v>
      </c>
    </row>
    <row r="47" spans="1:7" x14ac:dyDescent="0.25">
      <c r="A47" s="1651"/>
      <c r="B47" s="1665"/>
      <c r="C47" s="1652"/>
      <c r="D47" s="1842"/>
      <c r="E47" s="1538">
        <f t="shared" si="2"/>
        <v>0</v>
      </c>
      <c r="F47" s="1934">
        <f t="shared" si="1"/>
        <v>0</v>
      </c>
      <c r="G47" s="1791">
        <f t="shared" si="3"/>
        <v>0</v>
      </c>
    </row>
    <row r="48" spans="1:7" x14ac:dyDescent="0.25">
      <c r="A48" s="1651"/>
      <c r="B48" s="1665"/>
      <c r="C48" s="1652"/>
      <c r="D48" s="1842"/>
      <c r="E48" s="1538">
        <f t="shared" si="2"/>
        <v>0</v>
      </c>
      <c r="F48" s="1934">
        <f t="shared" si="1"/>
        <v>0</v>
      </c>
      <c r="G48" s="1791">
        <f t="shared" si="3"/>
        <v>0</v>
      </c>
    </row>
    <row r="49" spans="1:7" x14ac:dyDescent="0.25">
      <c r="A49" s="1651"/>
      <c r="B49" s="1665"/>
      <c r="C49" s="1652"/>
      <c r="D49" s="1842"/>
      <c r="E49" s="1538">
        <f t="shared" si="2"/>
        <v>0</v>
      </c>
      <c r="F49" s="1934">
        <f t="shared" si="1"/>
        <v>0</v>
      </c>
      <c r="G49" s="1791">
        <f t="shared" si="3"/>
        <v>0</v>
      </c>
    </row>
    <row r="50" spans="1:7" x14ac:dyDescent="0.25">
      <c r="A50" s="1651"/>
      <c r="B50" s="1665"/>
      <c r="C50" s="1652"/>
      <c r="D50" s="1842"/>
      <c r="E50" s="1538">
        <f t="shared" si="2"/>
        <v>0</v>
      </c>
      <c r="F50" s="1934">
        <f t="shared" si="1"/>
        <v>0</v>
      </c>
      <c r="G50" s="1791">
        <f t="shared" si="3"/>
        <v>0</v>
      </c>
    </row>
    <row r="51" spans="1:7" x14ac:dyDescent="0.25">
      <c r="A51" s="1651"/>
      <c r="B51" s="1665"/>
      <c r="C51" s="1652"/>
      <c r="D51" s="1842"/>
      <c r="E51" s="1538">
        <f t="shared" si="2"/>
        <v>0</v>
      </c>
      <c r="F51" s="1934">
        <f t="shared" si="1"/>
        <v>0</v>
      </c>
      <c r="G51" s="1791">
        <f t="shared" si="3"/>
        <v>0</v>
      </c>
    </row>
    <row r="52" spans="1:7" x14ac:dyDescent="0.25">
      <c r="A52" s="1651"/>
      <c r="B52" s="1665"/>
      <c r="C52" s="1652"/>
      <c r="D52" s="1842"/>
      <c r="E52" s="1538">
        <f t="shared" si="2"/>
        <v>0</v>
      </c>
      <c r="F52" s="1934">
        <f t="shared" si="1"/>
        <v>0</v>
      </c>
      <c r="G52" s="1791">
        <f t="shared" si="3"/>
        <v>0</v>
      </c>
    </row>
    <row r="53" spans="1:7" x14ac:dyDescent="0.25">
      <c r="A53" s="1651"/>
      <c r="B53" s="1665"/>
      <c r="C53" s="1652"/>
      <c r="D53" s="1842"/>
      <c r="E53" s="1538">
        <f t="shared" si="2"/>
        <v>0</v>
      </c>
      <c r="F53" s="1934">
        <f t="shared" si="1"/>
        <v>0</v>
      </c>
      <c r="G53" s="1791">
        <f t="shared" si="3"/>
        <v>0</v>
      </c>
    </row>
    <row r="54" spans="1:7" x14ac:dyDescent="0.25">
      <c r="A54" s="1651"/>
      <c r="B54" s="1665"/>
      <c r="C54" s="1652"/>
      <c r="D54" s="1842"/>
      <c r="E54" s="1538">
        <f t="shared" si="2"/>
        <v>0</v>
      </c>
      <c r="F54" s="1934">
        <f t="shared" si="1"/>
        <v>0</v>
      </c>
      <c r="G54" s="1791">
        <f t="shared" si="3"/>
        <v>0</v>
      </c>
    </row>
    <row r="55" spans="1:7" x14ac:dyDescent="0.25">
      <c r="A55" s="1651"/>
      <c r="B55" s="1665"/>
      <c r="C55" s="1652"/>
      <c r="D55" s="1842"/>
      <c r="E55" s="1538">
        <f t="shared" si="2"/>
        <v>0</v>
      </c>
      <c r="F55" s="1934">
        <f t="shared" si="1"/>
        <v>0</v>
      </c>
      <c r="G55" s="1791">
        <f t="shared" si="3"/>
        <v>0</v>
      </c>
    </row>
    <row r="56" spans="1:7" x14ac:dyDescent="0.25">
      <c r="A56" s="1651"/>
      <c r="B56" s="1665"/>
      <c r="C56" s="1652"/>
      <c r="D56" s="1842"/>
      <c r="E56" s="1538">
        <f t="shared" si="2"/>
        <v>0</v>
      </c>
      <c r="F56" s="1934">
        <f t="shared" si="1"/>
        <v>0</v>
      </c>
      <c r="G56" s="1791">
        <f t="shared" si="3"/>
        <v>0</v>
      </c>
    </row>
    <row r="57" spans="1:7" x14ac:dyDescent="0.25">
      <c r="A57" s="1651"/>
      <c r="B57" s="1665"/>
      <c r="C57" s="1652"/>
      <c r="D57" s="1842"/>
      <c r="E57" s="1538">
        <f t="shared" si="2"/>
        <v>0</v>
      </c>
      <c r="F57" s="1934">
        <f t="shared" si="1"/>
        <v>0</v>
      </c>
      <c r="G57" s="1791">
        <f t="shared" si="3"/>
        <v>0</v>
      </c>
    </row>
    <row r="58" spans="1:7" x14ac:dyDescent="0.25">
      <c r="A58" s="1651"/>
      <c r="B58" s="1665"/>
      <c r="C58" s="1652"/>
      <c r="D58" s="1842"/>
      <c r="E58" s="1538">
        <f t="shared" si="2"/>
        <v>0</v>
      </c>
      <c r="F58" s="1934">
        <f t="shared" si="1"/>
        <v>0</v>
      </c>
      <c r="G58" s="1791">
        <f t="shared" si="3"/>
        <v>0</v>
      </c>
    </row>
    <row r="59" spans="1:7" x14ac:dyDescent="0.25">
      <c r="A59" s="1651"/>
      <c r="B59" s="1665"/>
      <c r="C59" s="1652"/>
      <c r="D59" s="1842"/>
      <c r="E59" s="1538">
        <f t="shared" si="2"/>
        <v>0</v>
      </c>
      <c r="F59" s="1934">
        <f t="shared" si="1"/>
        <v>0</v>
      </c>
      <c r="G59" s="1791">
        <f t="shared" si="3"/>
        <v>0</v>
      </c>
    </row>
    <row r="60" spans="1:7" x14ac:dyDescent="0.25">
      <c r="A60" s="1651"/>
      <c r="B60" s="1665"/>
      <c r="C60" s="1652"/>
      <c r="D60" s="1842"/>
      <c r="E60" s="1538">
        <f t="shared" si="2"/>
        <v>0</v>
      </c>
      <c r="F60" s="1934">
        <f t="shared" si="1"/>
        <v>0</v>
      </c>
      <c r="G60" s="1791">
        <f t="shared" si="3"/>
        <v>0</v>
      </c>
    </row>
    <row r="61" spans="1:7" x14ac:dyDescent="0.25">
      <c r="A61" s="1651"/>
      <c r="B61" s="1665"/>
      <c r="C61" s="1652"/>
      <c r="D61" s="1842"/>
      <c r="E61" s="1538">
        <f t="shared" si="2"/>
        <v>0</v>
      </c>
      <c r="F61" s="1934">
        <f t="shared" si="1"/>
        <v>0</v>
      </c>
      <c r="G61" s="1791">
        <f t="shared" si="3"/>
        <v>0</v>
      </c>
    </row>
    <row r="62" spans="1:7" x14ac:dyDescent="0.25">
      <c r="A62" s="1651"/>
      <c r="B62" s="1665"/>
      <c r="C62" s="1652"/>
      <c r="D62" s="1842"/>
      <c r="E62" s="1538">
        <f t="shared" si="2"/>
        <v>0</v>
      </c>
      <c r="F62" s="1934">
        <f t="shared" si="1"/>
        <v>0</v>
      </c>
      <c r="G62" s="1791">
        <f t="shared" si="3"/>
        <v>0</v>
      </c>
    </row>
    <row r="63" spans="1:7" x14ac:dyDescent="0.25">
      <c r="A63" s="1651"/>
      <c r="B63" s="1665"/>
      <c r="C63" s="1652"/>
      <c r="D63" s="1842"/>
      <c r="E63" s="1538">
        <f t="shared" si="2"/>
        <v>0</v>
      </c>
      <c r="F63" s="1934">
        <f t="shared" si="1"/>
        <v>0</v>
      </c>
      <c r="G63" s="1791">
        <f t="shared" si="3"/>
        <v>0</v>
      </c>
    </row>
    <row r="64" spans="1:7" x14ac:dyDescent="0.25">
      <c r="A64" s="1651"/>
      <c r="B64" s="1665"/>
      <c r="C64" s="1652"/>
      <c r="D64" s="1842"/>
      <c r="E64" s="1538">
        <f t="shared" si="2"/>
        <v>0</v>
      </c>
      <c r="F64" s="1934">
        <f t="shared" si="1"/>
        <v>0</v>
      </c>
      <c r="G64" s="1791">
        <f t="shared" si="3"/>
        <v>0</v>
      </c>
    </row>
    <row r="65" spans="1:7" x14ac:dyDescent="0.25">
      <c r="A65" s="1653"/>
      <c r="B65" s="1665"/>
      <c r="C65" s="1654"/>
      <c r="D65" s="1842"/>
      <c r="E65" s="1538">
        <f t="shared" si="2"/>
        <v>0</v>
      </c>
      <c r="F65" s="1934">
        <f t="shared" si="1"/>
        <v>0</v>
      </c>
      <c r="G65" s="1791">
        <f t="shared" si="3"/>
        <v>0</v>
      </c>
    </row>
    <row r="66" spans="1:7" x14ac:dyDescent="0.25">
      <c r="A66" s="1651"/>
      <c r="B66" s="1665"/>
      <c r="C66" s="1652"/>
      <c r="D66" s="1842"/>
      <c r="E66" s="1538">
        <f t="shared" si="2"/>
        <v>0</v>
      </c>
      <c r="F66" s="1934">
        <f t="shared" si="1"/>
        <v>0</v>
      </c>
      <c r="G66" s="1791">
        <f t="shared" si="3"/>
        <v>0</v>
      </c>
    </row>
    <row r="67" spans="1:7" x14ac:dyDescent="0.25">
      <c r="A67" s="1651"/>
      <c r="B67" s="1665"/>
      <c r="C67" s="1652"/>
      <c r="D67" s="1842"/>
      <c r="E67" s="1538">
        <f t="shared" si="2"/>
        <v>0</v>
      </c>
      <c r="F67" s="1934">
        <f t="shared" si="1"/>
        <v>0</v>
      </c>
      <c r="G67" s="1791">
        <f t="shared" si="3"/>
        <v>0</v>
      </c>
    </row>
    <row r="68" spans="1:7" x14ac:dyDescent="0.25">
      <c r="A68" s="1651"/>
      <c r="B68" s="1665"/>
      <c r="C68" s="1652"/>
      <c r="D68" s="1842"/>
      <c r="E68" s="1538">
        <f t="shared" si="2"/>
        <v>0</v>
      </c>
      <c r="F68" s="1934">
        <f t="shared" si="1"/>
        <v>0</v>
      </c>
      <c r="G68" s="1791">
        <f t="shared" si="3"/>
        <v>0</v>
      </c>
    </row>
    <row r="69" spans="1:7" x14ac:dyDescent="0.25">
      <c r="A69" s="1651"/>
      <c r="B69" s="1665"/>
      <c r="C69" s="1652"/>
      <c r="D69" s="1842"/>
      <c r="E69" s="1538">
        <f t="shared" si="2"/>
        <v>0</v>
      </c>
      <c r="F69" s="1934">
        <f t="shared" si="1"/>
        <v>0</v>
      </c>
      <c r="G69" s="1791">
        <f t="shared" si="3"/>
        <v>0</v>
      </c>
    </row>
    <row r="70" spans="1:7" x14ac:dyDescent="0.25">
      <c r="A70" s="1651"/>
      <c r="B70" s="1665"/>
      <c r="C70" s="1652"/>
      <c r="D70" s="1842"/>
      <c r="E70" s="1538">
        <f t="shared" si="2"/>
        <v>0</v>
      </c>
      <c r="F70" s="1934">
        <f t="shared" si="1"/>
        <v>0</v>
      </c>
      <c r="G70" s="1791">
        <f t="shared" si="3"/>
        <v>0</v>
      </c>
    </row>
    <row r="71" spans="1:7" x14ac:dyDescent="0.25">
      <c r="A71" s="1651"/>
      <c r="B71" s="1665"/>
      <c r="C71" s="1652"/>
      <c r="D71" s="1842"/>
      <c r="E71" s="1538">
        <f t="shared" si="2"/>
        <v>0</v>
      </c>
      <c r="F71" s="1934">
        <f t="shared" si="1"/>
        <v>0</v>
      </c>
      <c r="G71" s="1791">
        <f t="shared" si="3"/>
        <v>0</v>
      </c>
    </row>
    <row r="72" spans="1:7" x14ac:dyDescent="0.25">
      <c r="A72" s="1651"/>
      <c r="B72" s="1665"/>
      <c r="C72" s="1652"/>
      <c r="D72" s="1842"/>
      <c r="E72" s="1538">
        <f t="shared" si="2"/>
        <v>0</v>
      </c>
      <c r="F72" s="1934">
        <f t="shared" si="1"/>
        <v>0</v>
      </c>
      <c r="G72" s="1791">
        <f t="shared" si="3"/>
        <v>0</v>
      </c>
    </row>
    <row r="73" spans="1:7" x14ac:dyDescent="0.25">
      <c r="A73" s="1651"/>
      <c r="B73" s="1665"/>
      <c r="C73" s="1652"/>
      <c r="D73" s="1842"/>
      <c r="E73" s="1538">
        <f t="shared" si="2"/>
        <v>0</v>
      </c>
      <c r="F73" s="1934">
        <f t="shared" si="1"/>
        <v>0</v>
      </c>
      <c r="G73" s="1791">
        <f t="shared" si="3"/>
        <v>0</v>
      </c>
    </row>
    <row r="74" spans="1:7" x14ac:dyDescent="0.25">
      <c r="A74" s="1651"/>
      <c r="B74" s="1665"/>
      <c r="C74" s="1652"/>
      <c r="D74" s="1842"/>
      <c r="E74" s="1538">
        <f t="shared" ref="E74:E85" si="4">IF(D74&lt;=25000,D74,IF(D74&gt;25000,25000,0))</f>
        <v>0</v>
      </c>
      <c r="F74" s="1934">
        <f t="shared" si="1"/>
        <v>0</v>
      </c>
      <c r="G74" s="1791">
        <f t="shared" ref="G74:G85" si="5">IF(F74=0,0,D74-F74)</f>
        <v>0</v>
      </c>
    </row>
    <row r="75" spans="1:7" x14ac:dyDescent="0.25">
      <c r="A75" s="1651"/>
      <c r="B75" s="1665"/>
      <c r="C75" s="1652"/>
      <c r="D75" s="1842"/>
      <c r="E75" s="1538">
        <f t="shared" si="4"/>
        <v>0</v>
      </c>
      <c r="F75" s="1934">
        <f t="shared" si="1"/>
        <v>0</v>
      </c>
      <c r="G75" s="1791">
        <f t="shared" si="5"/>
        <v>0</v>
      </c>
    </row>
    <row r="76" spans="1:7" x14ac:dyDescent="0.25">
      <c r="A76" s="1651"/>
      <c r="B76" s="1665"/>
      <c r="C76" s="1652"/>
      <c r="D76" s="1842"/>
      <c r="E76" s="1538">
        <f t="shared" si="4"/>
        <v>0</v>
      </c>
      <c r="F76" s="1934">
        <f t="shared" si="1"/>
        <v>0</v>
      </c>
      <c r="G76" s="1791">
        <f t="shared" si="5"/>
        <v>0</v>
      </c>
    </row>
    <row r="77" spans="1:7" x14ac:dyDescent="0.25">
      <c r="A77" s="1651"/>
      <c r="B77" s="1665"/>
      <c r="C77" s="1652"/>
      <c r="D77" s="1842"/>
      <c r="E77" s="1538">
        <f t="shared" si="4"/>
        <v>0</v>
      </c>
      <c r="F77" s="1934">
        <f t="shared" si="1"/>
        <v>0</v>
      </c>
      <c r="G77" s="1791">
        <f t="shared" si="5"/>
        <v>0</v>
      </c>
    </row>
    <row r="78" spans="1:7" x14ac:dyDescent="0.25">
      <c r="A78" s="1651"/>
      <c r="B78" s="1665"/>
      <c r="C78" s="1652"/>
      <c r="D78" s="1842"/>
      <c r="E78" s="1538">
        <f t="shared" si="4"/>
        <v>0</v>
      </c>
      <c r="F78" s="1934">
        <f t="shared" si="1"/>
        <v>0</v>
      </c>
      <c r="G78" s="1791">
        <f t="shared" si="5"/>
        <v>0</v>
      </c>
    </row>
    <row r="79" spans="1:7" x14ac:dyDescent="0.25">
      <c r="A79" s="1651"/>
      <c r="B79" s="1665"/>
      <c r="C79" s="1652"/>
      <c r="D79" s="1842"/>
      <c r="E79" s="1538">
        <f t="shared" si="4"/>
        <v>0</v>
      </c>
      <c r="F79" s="1934">
        <f t="shared" si="1"/>
        <v>0</v>
      </c>
      <c r="G79" s="1791">
        <f t="shared" si="5"/>
        <v>0</v>
      </c>
    </row>
    <row r="80" spans="1:7" x14ac:dyDescent="0.25">
      <c r="A80" s="1651"/>
      <c r="B80" s="1665"/>
      <c r="C80" s="1652"/>
      <c r="D80" s="1842"/>
      <c r="E80" s="1538">
        <f t="shared" si="4"/>
        <v>0</v>
      </c>
      <c r="F80" s="1934">
        <f t="shared" si="1"/>
        <v>0</v>
      </c>
      <c r="G80" s="1791">
        <f t="shared" si="5"/>
        <v>0</v>
      </c>
    </row>
    <row r="81" spans="1:7" x14ac:dyDescent="0.25">
      <c r="A81" s="1651"/>
      <c r="B81" s="1665"/>
      <c r="C81" s="1652"/>
      <c r="D81" s="1842"/>
      <c r="E81" s="1538">
        <f t="shared" si="4"/>
        <v>0</v>
      </c>
      <c r="F81" s="1934">
        <f t="shared" si="1"/>
        <v>0</v>
      </c>
      <c r="G81" s="1791">
        <f t="shared" si="5"/>
        <v>0</v>
      </c>
    </row>
    <row r="82" spans="1:7" x14ac:dyDescent="0.25">
      <c r="A82" s="1651"/>
      <c r="B82" s="1665"/>
      <c r="C82" s="1652"/>
      <c r="D82" s="1842"/>
      <c r="E82" s="1538">
        <f t="shared" si="4"/>
        <v>0</v>
      </c>
      <c r="F82" s="1934">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4">
        <f t="shared" si="6"/>
        <v>0</v>
      </c>
      <c r="G83" s="1791">
        <f t="shared" si="5"/>
        <v>0</v>
      </c>
    </row>
    <row r="84" spans="1:7" x14ac:dyDescent="0.25">
      <c r="A84" s="1651"/>
      <c r="B84" s="1665"/>
      <c r="C84" s="1652"/>
      <c r="D84" s="1842"/>
      <c r="E84" s="1538">
        <f t="shared" si="4"/>
        <v>0</v>
      </c>
      <c r="F84" s="1934">
        <f t="shared" si="6"/>
        <v>0</v>
      </c>
      <c r="G84" s="1791">
        <f t="shared" si="5"/>
        <v>0</v>
      </c>
    </row>
    <row r="85" spans="1:7" x14ac:dyDescent="0.25">
      <c r="A85" s="1651"/>
      <c r="B85" s="1665"/>
      <c r="C85" s="1652"/>
      <c r="D85" s="1842"/>
      <c r="E85" s="1538">
        <f t="shared" si="4"/>
        <v>0</v>
      </c>
      <c r="F85" s="1934">
        <f t="shared" si="6"/>
        <v>0</v>
      </c>
      <c r="G85" s="1791">
        <f t="shared" si="5"/>
        <v>0</v>
      </c>
    </row>
    <row r="86" spans="1:7" x14ac:dyDescent="0.25">
      <c r="A86" s="1651"/>
      <c r="B86" s="1665"/>
      <c r="C86" s="1652"/>
      <c r="D86" s="1842"/>
      <c r="E86" s="1538">
        <f t="shared" si="2"/>
        <v>0</v>
      </c>
      <c r="F86" s="1934">
        <f t="shared" si="6"/>
        <v>0</v>
      </c>
      <c r="G86" s="1791">
        <f t="shared" si="3"/>
        <v>0</v>
      </c>
    </row>
    <row r="87" spans="1:7" x14ac:dyDescent="0.25">
      <c r="A87" s="1651"/>
      <c r="B87" s="1665"/>
      <c r="C87" s="1652"/>
      <c r="D87" s="1842"/>
      <c r="E87" s="1538">
        <f t="shared" si="2"/>
        <v>0</v>
      </c>
      <c r="F87" s="1934">
        <f t="shared" si="6"/>
        <v>0</v>
      </c>
      <c r="G87" s="1791">
        <f t="shared" si="3"/>
        <v>0</v>
      </c>
    </row>
    <row r="88" spans="1:7" x14ac:dyDescent="0.25">
      <c r="A88" s="1651"/>
      <c r="B88" s="1665"/>
      <c r="C88" s="1652"/>
      <c r="D88" s="1842"/>
      <c r="E88" s="1538">
        <f t="shared" si="2"/>
        <v>0</v>
      </c>
      <c r="F88" s="1934">
        <f t="shared" si="6"/>
        <v>0</v>
      </c>
      <c r="G88" s="1791">
        <f t="shared" si="3"/>
        <v>0</v>
      </c>
    </row>
    <row r="89" spans="1:7" x14ac:dyDescent="0.25">
      <c r="A89" s="1651"/>
      <c r="B89" s="1665"/>
      <c r="C89" s="1652"/>
      <c r="D89" s="1842"/>
      <c r="E89" s="1538">
        <f t="shared" si="2"/>
        <v>0</v>
      </c>
      <c r="F89" s="1934">
        <f t="shared" si="6"/>
        <v>0</v>
      </c>
      <c r="G89" s="1791">
        <f t="shared" si="3"/>
        <v>0</v>
      </c>
    </row>
    <row r="90" spans="1:7" x14ac:dyDescent="0.25">
      <c r="A90" s="1651"/>
      <c r="B90" s="1665"/>
      <c r="C90" s="1652"/>
      <c r="D90" s="1842"/>
      <c r="E90" s="1538">
        <f t="shared" si="2"/>
        <v>0</v>
      </c>
      <c r="F90" s="1934">
        <f t="shared" si="6"/>
        <v>0</v>
      </c>
      <c r="G90" s="1791">
        <f t="shared" si="3"/>
        <v>0</v>
      </c>
    </row>
    <row r="91" spans="1:7" x14ac:dyDescent="0.25">
      <c r="A91" s="1651"/>
      <c r="B91" s="1665"/>
      <c r="C91" s="1652"/>
      <c r="D91" s="1842"/>
      <c r="E91" s="1538">
        <f t="shared" si="2"/>
        <v>0</v>
      </c>
      <c r="F91" s="1934">
        <f t="shared" si="6"/>
        <v>0</v>
      </c>
      <c r="G91" s="1791">
        <f t="shared" si="3"/>
        <v>0</v>
      </c>
    </row>
    <row r="92" spans="1:7" x14ac:dyDescent="0.25">
      <c r="A92" s="1651"/>
      <c r="B92" s="1665"/>
      <c r="C92" s="1652"/>
      <c r="D92" s="1842"/>
      <c r="E92" s="1538">
        <f t="shared" si="2"/>
        <v>0</v>
      </c>
      <c r="F92" s="1934">
        <f t="shared" si="6"/>
        <v>0</v>
      </c>
      <c r="G92" s="1791">
        <f t="shared" si="3"/>
        <v>0</v>
      </c>
    </row>
    <row r="93" spans="1:7" x14ac:dyDescent="0.25">
      <c r="A93" s="1651"/>
      <c r="B93" s="1665"/>
      <c r="C93" s="1652"/>
      <c r="D93" s="1842"/>
      <c r="E93" s="1538">
        <f t="shared" si="2"/>
        <v>0</v>
      </c>
      <c r="F93" s="1934">
        <f t="shared" si="6"/>
        <v>0</v>
      </c>
      <c r="G93" s="1791">
        <f t="shared" si="3"/>
        <v>0</v>
      </c>
    </row>
    <row r="94" spans="1:7" x14ac:dyDescent="0.25">
      <c r="A94" s="1651"/>
      <c r="B94" s="1665"/>
      <c r="C94" s="1652"/>
      <c r="D94" s="1842"/>
      <c r="E94" s="1538">
        <f t="shared" ref="E94" si="7">IF(D94&lt;=25000,D94,IF(D94&gt;25000,25000,0))</f>
        <v>0</v>
      </c>
      <c r="F94" s="1934">
        <f t="shared" si="6"/>
        <v>0</v>
      </c>
      <c r="G94" s="1791">
        <f t="shared" ref="G94" si="8">IF(F94=0,0,D94-F94)</f>
        <v>0</v>
      </c>
    </row>
    <row r="95" spans="1:7" x14ac:dyDescent="0.25">
      <c r="A95" s="1651"/>
      <c r="B95" s="1665"/>
      <c r="C95" s="1652"/>
      <c r="D95" s="1842"/>
      <c r="E95" s="1538">
        <f t="shared" si="2"/>
        <v>0</v>
      </c>
      <c r="F95" s="1934">
        <f t="shared" si="6"/>
        <v>0</v>
      </c>
      <c r="G95" s="1791">
        <f t="shared" si="3"/>
        <v>0</v>
      </c>
    </row>
    <row r="96" spans="1:7" x14ac:dyDescent="0.25">
      <c r="A96" s="1651"/>
      <c r="B96" s="1665"/>
      <c r="C96" s="1652"/>
      <c r="D96" s="1842"/>
      <c r="E96" s="1538">
        <f t="shared" ref="E96:E99" si="9">IF(D96&lt;=25000,D96,IF(D96&gt;25000,25000,0))</f>
        <v>0</v>
      </c>
      <c r="F96" s="1934">
        <f t="shared" si="6"/>
        <v>0</v>
      </c>
      <c r="G96" s="1791">
        <f t="shared" ref="G96:G99" si="10">IF(F96=0,0,D96-F96)</f>
        <v>0</v>
      </c>
    </row>
    <row r="97" spans="1:7" x14ac:dyDescent="0.25">
      <c r="A97" s="1651"/>
      <c r="B97" s="1665"/>
      <c r="C97" s="1652"/>
      <c r="D97" s="1842"/>
      <c r="E97" s="1538">
        <f t="shared" si="9"/>
        <v>0</v>
      </c>
      <c r="F97" s="1934">
        <f t="shared" si="6"/>
        <v>0</v>
      </c>
      <c r="G97" s="1791">
        <f t="shared" si="10"/>
        <v>0</v>
      </c>
    </row>
    <row r="98" spans="1:7" x14ac:dyDescent="0.25">
      <c r="A98" s="1651"/>
      <c r="B98" s="1665"/>
      <c r="C98" s="1652"/>
      <c r="D98" s="1842"/>
      <c r="E98" s="1538">
        <f t="shared" si="9"/>
        <v>0</v>
      </c>
      <c r="F98" s="1934">
        <f t="shared" si="6"/>
        <v>0</v>
      </c>
      <c r="G98" s="1791">
        <f t="shared" si="10"/>
        <v>0</v>
      </c>
    </row>
    <row r="99" spans="1:7" x14ac:dyDescent="0.25">
      <c r="A99" s="1651"/>
      <c r="B99" s="1665"/>
      <c r="C99" s="1652"/>
      <c r="D99" s="1842"/>
      <c r="E99" s="1538">
        <f t="shared" si="9"/>
        <v>0</v>
      </c>
      <c r="F99" s="1934">
        <f t="shared" si="6"/>
        <v>0</v>
      </c>
      <c r="G99" s="1791">
        <f t="shared" si="10"/>
        <v>0</v>
      </c>
    </row>
    <row r="100" spans="1:7" x14ac:dyDescent="0.25">
      <c r="A100" s="1651"/>
      <c r="B100" s="1665"/>
      <c r="C100" s="1652"/>
      <c r="D100" s="1842"/>
      <c r="E100" s="1538">
        <f t="shared" ref="E100" si="11">IF(D100&lt;=25000,D100,IF(D100&gt;25000,25000,0))</f>
        <v>0</v>
      </c>
      <c r="F100" s="1934">
        <f t="shared" si="6"/>
        <v>0</v>
      </c>
      <c r="G100" s="1791">
        <f t="shared" ref="G100" si="12">IF(F100=0,0,D100-F100)</f>
        <v>0</v>
      </c>
    </row>
    <row r="101" spans="1:7" x14ac:dyDescent="0.25">
      <c r="A101" s="1651"/>
      <c r="B101" s="1665"/>
      <c r="C101" s="1652"/>
      <c r="D101" s="1842"/>
      <c r="E101" s="1538">
        <f t="shared" ref="E101:E113" si="13">IF(D101&lt;=25000,D101,IF(D101&gt;25000,25000,0))</f>
        <v>0</v>
      </c>
      <c r="F101" s="1934">
        <f t="shared" si="6"/>
        <v>0</v>
      </c>
      <c r="G101" s="1791">
        <f t="shared" ref="G101:G113" si="14">IF(F101=0,0,D101-F101)</f>
        <v>0</v>
      </c>
    </row>
    <row r="102" spans="1:7" x14ac:dyDescent="0.25">
      <c r="A102" s="1651"/>
      <c r="B102" s="1665"/>
      <c r="C102" s="1652"/>
      <c r="D102" s="1842"/>
      <c r="E102" s="1538">
        <f t="shared" si="13"/>
        <v>0</v>
      </c>
      <c r="F102" s="1934">
        <f t="shared" si="6"/>
        <v>0</v>
      </c>
      <c r="G102" s="1791">
        <f t="shared" si="14"/>
        <v>0</v>
      </c>
    </row>
    <row r="103" spans="1:7" x14ac:dyDescent="0.25">
      <c r="A103" s="1651"/>
      <c r="B103" s="1665"/>
      <c r="C103" s="1652"/>
      <c r="D103" s="1842"/>
      <c r="E103" s="1538">
        <f t="shared" si="13"/>
        <v>0</v>
      </c>
      <c r="F103" s="1934">
        <f t="shared" si="6"/>
        <v>0</v>
      </c>
      <c r="G103" s="1791">
        <f t="shared" si="14"/>
        <v>0</v>
      </c>
    </row>
    <row r="104" spans="1:7" x14ac:dyDescent="0.25">
      <c r="A104" s="1651"/>
      <c r="B104" s="1665"/>
      <c r="C104" s="1652"/>
      <c r="D104" s="1842"/>
      <c r="E104" s="1538">
        <f t="shared" si="13"/>
        <v>0</v>
      </c>
      <c r="F104" s="1934">
        <f t="shared" si="6"/>
        <v>0</v>
      </c>
      <c r="G104" s="1791">
        <f t="shared" si="14"/>
        <v>0</v>
      </c>
    </row>
    <row r="105" spans="1:7" x14ac:dyDescent="0.25">
      <c r="A105" s="1651"/>
      <c r="B105" s="1665"/>
      <c r="C105" s="1652"/>
      <c r="D105" s="1842"/>
      <c r="E105" s="1538">
        <f t="shared" si="13"/>
        <v>0</v>
      </c>
      <c r="F105" s="1934">
        <f t="shared" si="6"/>
        <v>0</v>
      </c>
      <c r="G105" s="1791">
        <f t="shared" si="14"/>
        <v>0</v>
      </c>
    </row>
    <row r="106" spans="1:7" x14ac:dyDescent="0.25">
      <c r="A106" s="1651"/>
      <c r="B106" s="1665"/>
      <c r="C106" s="1652"/>
      <c r="D106" s="1842"/>
      <c r="E106" s="1538">
        <f t="shared" si="13"/>
        <v>0</v>
      </c>
      <c r="F106" s="1934">
        <f t="shared" si="6"/>
        <v>0</v>
      </c>
      <c r="G106" s="1791">
        <f t="shared" si="14"/>
        <v>0</v>
      </c>
    </row>
    <row r="107" spans="1:7" x14ac:dyDescent="0.25">
      <c r="A107" s="1651"/>
      <c r="B107" s="1665"/>
      <c r="C107" s="1652"/>
      <c r="D107" s="1842"/>
      <c r="E107" s="1538">
        <f t="shared" si="13"/>
        <v>0</v>
      </c>
      <c r="F107" s="1934">
        <f t="shared" si="6"/>
        <v>0</v>
      </c>
      <c r="G107" s="1791">
        <f t="shared" si="14"/>
        <v>0</v>
      </c>
    </row>
    <row r="108" spans="1:7" x14ac:dyDescent="0.25">
      <c r="A108" s="1651"/>
      <c r="B108" s="1665"/>
      <c r="C108" s="1652"/>
      <c r="D108" s="1842"/>
      <c r="E108" s="1538">
        <f t="shared" si="13"/>
        <v>0</v>
      </c>
      <c r="F108" s="1934">
        <f t="shared" si="6"/>
        <v>0</v>
      </c>
      <c r="G108" s="1791">
        <f t="shared" si="14"/>
        <v>0</v>
      </c>
    </row>
    <row r="109" spans="1:7" x14ac:dyDescent="0.25">
      <c r="A109" s="1651"/>
      <c r="B109" s="1665"/>
      <c r="C109" s="1652"/>
      <c r="D109" s="1842"/>
      <c r="E109" s="1538">
        <f t="shared" si="13"/>
        <v>0</v>
      </c>
      <c r="F109" s="1934">
        <f t="shared" si="6"/>
        <v>0</v>
      </c>
      <c r="G109" s="1791">
        <f t="shared" si="14"/>
        <v>0</v>
      </c>
    </row>
    <row r="110" spans="1:7" x14ac:dyDescent="0.25">
      <c r="A110" s="1651"/>
      <c r="B110" s="1665"/>
      <c r="C110" s="1652"/>
      <c r="D110" s="1842"/>
      <c r="E110" s="1538">
        <f t="shared" si="13"/>
        <v>0</v>
      </c>
      <c r="F110" s="1934">
        <f t="shared" si="6"/>
        <v>0</v>
      </c>
      <c r="G110" s="1791">
        <f t="shared" si="14"/>
        <v>0</v>
      </c>
    </row>
    <row r="111" spans="1:7" x14ac:dyDescent="0.25">
      <c r="A111" s="1651"/>
      <c r="B111" s="1665"/>
      <c r="C111" s="1652"/>
      <c r="D111" s="1842"/>
      <c r="E111" s="1538">
        <f t="shared" si="13"/>
        <v>0</v>
      </c>
      <c r="F111" s="1934">
        <f t="shared" si="6"/>
        <v>0</v>
      </c>
      <c r="G111" s="1791">
        <f t="shared" si="14"/>
        <v>0</v>
      </c>
    </row>
    <row r="112" spans="1:7" x14ac:dyDescent="0.25">
      <c r="A112" s="1651"/>
      <c r="B112" s="1665"/>
      <c r="C112" s="1652"/>
      <c r="D112" s="1842"/>
      <c r="E112" s="1538">
        <f t="shared" si="13"/>
        <v>0</v>
      </c>
      <c r="F112" s="1934">
        <f t="shared" si="6"/>
        <v>0</v>
      </c>
      <c r="G112" s="1791">
        <f t="shared" si="14"/>
        <v>0</v>
      </c>
    </row>
    <row r="113" spans="1:7" x14ac:dyDescent="0.25">
      <c r="A113" s="1651"/>
      <c r="B113" s="1665"/>
      <c r="C113" s="1652"/>
      <c r="D113" s="1842"/>
      <c r="E113" s="1538">
        <f t="shared" si="13"/>
        <v>0</v>
      </c>
      <c r="F113" s="1934">
        <f t="shared" si="6"/>
        <v>0</v>
      </c>
      <c r="G113" s="1791">
        <f t="shared" si="14"/>
        <v>0</v>
      </c>
    </row>
    <row r="114" spans="1:7" x14ac:dyDescent="0.25">
      <c r="A114" s="1651"/>
      <c r="B114" s="1665"/>
      <c r="C114" s="1652"/>
      <c r="D114" s="1842"/>
      <c r="E114" s="1538">
        <f t="shared" ref="E114:E126" si="15">IF(D114&lt;=25000,D114,IF(D114&gt;25000,25000,0))</f>
        <v>0</v>
      </c>
      <c r="F114" s="1934">
        <f t="shared" si="6"/>
        <v>0</v>
      </c>
      <c r="G114" s="1791">
        <f t="shared" ref="G114:G126" si="16">IF(F114=0,0,D114-F114)</f>
        <v>0</v>
      </c>
    </row>
    <row r="115" spans="1:7" x14ac:dyDescent="0.25">
      <c r="A115" s="1651"/>
      <c r="B115" s="1665"/>
      <c r="C115" s="1652"/>
      <c r="D115" s="1842"/>
      <c r="E115" s="1538">
        <f t="shared" si="15"/>
        <v>0</v>
      </c>
      <c r="F115" s="1934">
        <f t="shared" si="6"/>
        <v>0</v>
      </c>
      <c r="G115" s="1791">
        <f t="shared" si="16"/>
        <v>0</v>
      </c>
    </row>
    <row r="116" spans="1:7" x14ac:dyDescent="0.25">
      <c r="A116" s="1651"/>
      <c r="B116" s="1665"/>
      <c r="C116" s="1652"/>
      <c r="D116" s="1842"/>
      <c r="E116" s="1538">
        <f t="shared" si="15"/>
        <v>0</v>
      </c>
      <c r="F116" s="1934">
        <f t="shared" si="6"/>
        <v>0</v>
      </c>
      <c r="G116" s="1791">
        <f t="shared" si="16"/>
        <v>0</v>
      </c>
    </row>
    <row r="117" spans="1:7" x14ac:dyDescent="0.25">
      <c r="A117" s="1651"/>
      <c r="B117" s="1665"/>
      <c r="C117" s="1652"/>
      <c r="D117" s="1842"/>
      <c r="E117" s="1538">
        <f t="shared" si="15"/>
        <v>0</v>
      </c>
      <c r="F117" s="1934">
        <f t="shared" si="6"/>
        <v>0</v>
      </c>
      <c r="G117" s="1791">
        <f t="shared" si="16"/>
        <v>0</v>
      </c>
    </row>
    <row r="118" spans="1:7" x14ac:dyDescent="0.25">
      <c r="A118" s="1651"/>
      <c r="B118" s="1665"/>
      <c r="C118" s="1652"/>
      <c r="D118" s="1842"/>
      <c r="E118" s="1538">
        <f t="shared" si="15"/>
        <v>0</v>
      </c>
      <c r="F118" s="1934">
        <f t="shared" si="6"/>
        <v>0</v>
      </c>
      <c r="G118" s="1791">
        <f t="shared" si="16"/>
        <v>0</v>
      </c>
    </row>
    <row r="119" spans="1:7" x14ac:dyDescent="0.25">
      <c r="A119" s="1651"/>
      <c r="B119" s="1665"/>
      <c r="C119" s="1652"/>
      <c r="D119" s="1842"/>
      <c r="E119" s="1538">
        <f t="shared" si="15"/>
        <v>0</v>
      </c>
      <c r="F119" s="1934">
        <f t="shared" si="6"/>
        <v>0</v>
      </c>
      <c r="G119" s="1791">
        <f t="shared" si="16"/>
        <v>0</v>
      </c>
    </row>
    <row r="120" spans="1:7" x14ac:dyDescent="0.25">
      <c r="A120" s="1651"/>
      <c r="B120" s="1665"/>
      <c r="C120" s="1652"/>
      <c r="D120" s="1842"/>
      <c r="E120" s="1538">
        <f t="shared" si="15"/>
        <v>0</v>
      </c>
      <c r="F120" s="1934">
        <f t="shared" si="6"/>
        <v>0</v>
      </c>
      <c r="G120" s="1791">
        <f t="shared" si="16"/>
        <v>0</v>
      </c>
    </row>
    <row r="121" spans="1:7" x14ac:dyDescent="0.25">
      <c r="A121" s="1651"/>
      <c r="B121" s="1665"/>
      <c r="C121" s="1652"/>
      <c r="D121" s="1842"/>
      <c r="E121" s="1538">
        <f t="shared" si="15"/>
        <v>0</v>
      </c>
      <c r="F121" s="1934">
        <f t="shared" si="6"/>
        <v>0</v>
      </c>
      <c r="G121" s="1791">
        <f t="shared" si="16"/>
        <v>0</v>
      </c>
    </row>
    <row r="122" spans="1:7" x14ac:dyDescent="0.25">
      <c r="A122" s="1651"/>
      <c r="B122" s="1665"/>
      <c r="C122" s="1652"/>
      <c r="D122" s="1842"/>
      <c r="E122" s="1538">
        <f t="shared" si="15"/>
        <v>0</v>
      </c>
      <c r="F122" s="1934">
        <f t="shared" si="6"/>
        <v>0</v>
      </c>
      <c r="G122" s="1791">
        <f t="shared" si="16"/>
        <v>0</v>
      </c>
    </row>
    <row r="123" spans="1:7" x14ac:dyDescent="0.25">
      <c r="A123" s="1651"/>
      <c r="B123" s="1665"/>
      <c r="C123" s="1652"/>
      <c r="D123" s="1842"/>
      <c r="E123" s="1538">
        <f t="shared" si="15"/>
        <v>0</v>
      </c>
      <c r="F123" s="1934">
        <f t="shared" si="6"/>
        <v>0</v>
      </c>
      <c r="G123" s="1791">
        <f t="shared" si="16"/>
        <v>0</v>
      </c>
    </row>
    <row r="124" spans="1:7" x14ac:dyDescent="0.25">
      <c r="A124" s="1651"/>
      <c r="B124" s="1665"/>
      <c r="C124" s="1652"/>
      <c r="D124" s="1842"/>
      <c r="E124" s="1538">
        <f t="shared" si="15"/>
        <v>0</v>
      </c>
      <c r="F124" s="1934">
        <f t="shared" si="6"/>
        <v>0</v>
      </c>
      <c r="G124" s="1791">
        <f t="shared" si="16"/>
        <v>0</v>
      </c>
    </row>
    <row r="125" spans="1:7" x14ac:dyDescent="0.25">
      <c r="A125" s="1651"/>
      <c r="B125" s="1665"/>
      <c r="C125" s="1652"/>
      <c r="D125" s="1842"/>
      <c r="E125" s="1538">
        <f t="shared" si="15"/>
        <v>0</v>
      </c>
      <c r="F125" s="1934">
        <f t="shared" si="6"/>
        <v>0</v>
      </c>
      <c r="G125" s="1791">
        <f t="shared" si="16"/>
        <v>0</v>
      </c>
    </row>
    <row r="126" spans="1:7" x14ac:dyDescent="0.25">
      <c r="A126" s="1651"/>
      <c r="B126" s="1665"/>
      <c r="C126" s="1652"/>
      <c r="D126" s="1842"/>
      <c r="E126" s="1538">
        <f t="shared" si="15"/>
        <v>0</v>
      </c>
      <c r="F126" s="1934">
        <f t="shared" si="6"/>
        <v>0</v>
      </c>
      <c r="G126" s="1791">
        <f t="shared" si="16"/>
        <v>0</v>
      </c>
    </row>
    <row r="127" spans="1:7" x14ac:dyDescent="0.25">
      <c r="A127" s="1651"/>
      <c r="B127" s="1665"/>
      <c r="C127" s="1652"/>
      <c r="D127" s="1842"/>
      <c r="E127" s="1538">
        <f t="shared" ref="E127:E135" si="17">IF(D127&lt;=25000,D127,IF(D127&gt;25000,25000,0))</f>
        <v>0</v>
      </c>
      <c r="F127" s="1934">
        <f t="shared" si="6"/>
        <v>0</v>
      </c>
      <c r="G127" s="1791">
        <f t="shared" ref="G127:G135" si="18">IF(F127=0,0,D127-F127)</f>
        <v>0</v>
      </c>
    </row>
    <row r="128" spans="1:7" x14ac:dyDescent="0.25">
      <c r="A128" s="1651"/>
      <c r="B128" s="1665"/>
      <c r="C128" s="1652"/>
      <c r="D128" s="1842"/>
      <c r="E128" s="1538">
        <f t="shared" si="17"/>
        <v>0</v>
      </c>
      <c r="F128" s="1934">
        <f t="shared" si="6"/>
        <v>0</v>
      </c>
      <c r="G128" s="1791">
        <f t="shared" si="18"/>
        <v>0</v>
      </c>
    </row>
    <row r="129" spans="1:7" x14ac:dyDescent="0.25">
      <c r="A129" s="1651"/>
      <c r="B129" s="1665"/>
      <c r="C129" s="1652"/>
      <c r="D129" s="1842"/>
      <c r="E129" s="1538">
        <f t="shared" si="17"/>
        <v>0</v>
      </c>
      <c r="F129" s="1934">
        <f t="shared" si="6"/>
        <v>0</v>
      </c>
      <c r="G129" s="1791">
        <f t="shared" si="18"/>
        <v>0</v>
      </c>
    </row>
    <row r="130" spans="1:7" x14ac:dyDescent="0.25">
      <c r="A130" s="1651"/>
      <c r="B130" s="1665"/>
      <c r="C130" s="1652"/>
      <c r="D130" s="1842"/>
      <c r="E130" s="1538">
        <f t="shared" si="17"/>
        <v>0</v>
      </c>
      <c r="F130" s="1934">
        <f t="shared" si="6"/>
        <v>0</v>
      </c>
      <c r="G130" s="1791">
        <f t="shared" si="18"/>
        <v>0</v>
      </c>
    </row>
    <row r="131" spans="1:7" x14ac:dyDescent="0.25">
      <c r="A131" s="1651"/>
      <c r="B131" s="1665"/>
      <c r="C131" s="1652"/>
      <c r="D131" s="1842"/>
      <c r="E131" s="1538">
        <f t="shared" si="17"/>
        <v>0</v>
      </c>
      <c r="F131" s="1934">
        <f t="shared" si="6"/>
        <v>0</v>
      </c>
      <c r="G131" s="1791">
        <f t="shared" si="18"/>
        <v>0</v>
      </c>
    </row>
    <row r="132" spans="1:7" x14ac:dyDescent="0.25">
      <c r="A132" s="1651"/>
      <c r="B132" s="1835"/>
      <c r="C132" s="1652"/>
      <c r="D132" s="1842"/>
      <c r="E132" s="1538">
        <f t="shared" si="17"/>
        <v>0</v>
      </c>
      <c r="F132" s="1934">
        <f t="shared" si="6"/>
        <v>0</v>
      </c>
      <c r="G132" s="1791">
        <f t="shared" si="18"/>
        <v>0</v>
      </c>
    </row>
    <row r="133" spans="1:7" x14ac:dyDescent="0.25">
      <c r="A133" s="1651"/>
      <c r="B133" s="1835"/>
      <c r="C133" s="1652"/>
      <c r="D133" s="1842"/>
      <c r="E133" s="1538">
        <f t="shared" si="17"/>
        <v>0</v>
      </c>
      <c r="F133" s="1934">
        <f t="shared" si="6"/>
        <v>0</v>
      </c>
      <c r="G133" s="1791">
        <f t="shared" si="18"/>
        <v>0</v>
      </c>
    </row>
    <row r="134" spans="1:7" x14ac:dyDescent="0.25">
      <c r="A134" s="1651"/>
      <c r="B134" s="1665"/>
      <c r="C134" s="1652"/>
      <c r="D134" s="1842"/>
      <c r="E134" s="1538">
        <f t="shared" si="17"/>
        <v>0</v>
      </c>
      <c r="F134" s="1934">
        <f t="shared" si="6"/>
        <v>0</v>
      </c>
      <c r="G134" s="1791">
        <f t="shared" si="18"/>
        <v>0</v>
      </c>
    </row>
    <row r="135" spans="1:7" x14ac:dyDescent="0.25">
      <c r="A135" s="1651"/>
      <c r="B135" s="1665"/>
      <c r="C135" s="1652"/>
      <c r="D135" s="1842"/>
      <c r="E135" s="1538">
        <f t="shared" si="17"/>
        <v>0</v>
      </c>
      <c r="F135" s="1934">
        <f t="shared" si="6"/>
        <v>0</v>
      </c>
      <c r="G135" s="1791">
        <f t="shared" si="18"/>
        <v>0</v>
      </c>
    </row>
    <row r="136" spans="1:7" x14ac:dyDescent="0.25">
      <c r="A136" s="1651"/>
      <c r="B136" s="1665"/>
      <c r="C136" s="1652"/>
      <c r="D136" s="1842"/>
      <c r="E136" s="1538">
        <f t="shared" ref="E136:E140" si="19">IF(D136&lt;=25000,D136,IF(D136&gt;25000,25000,0))</f>
        <v>0</v>
      </c>
      <c r="F136" s="1934">
        <f t="shared" si="6"/>
        <v>0</v>
      </c>
      <c r="G136" s="1791">
        <f t="shared" ref="G136:G140" si="20">IF(F136=0,0,D136-F136)</f>
        <v>0</v>
      </c>
    </row>
    <row r="137" spans="1:7" x14ac:dyDescent="0.25">
      <c r="A137" s="1651"/>
      <c r="B137" s="1665"/>
      <c r="C137" s="1652"/>
      <c r="D137" s="1842"/>
      <c r="E137" s="1538">
        <f t="shared" si="19"/>
        <v>0</v>
      </c>
      <c r="F137" s="1934">
        <f t="shared" si="6"/>
        <v>0</v>
      </c>
      <c r="G137" s="1791">
        <f t="shared" si="20"/>
        <v>0</v>
      </c>
    </row>
    <row r="138" spans="1:7" x14ac:dyDescent="0.25">
      <c r="A138" s="1651"/>
      <c r="B138" s="1665"/>
      <c r="C138" s="1652"/>
      <c r="D138" s="1842"/>
      <c r="E138" s="1538">
        <f t="shared" si="19"/>
        <v>0</v>
      </c>
      <c r="F138" s="1934">
        <f t="shared" si="6"/>
        <v>0</v>
      </c>
      <c r="G138" s="1791">
        <f t="shared" si="20"/>
        <v>0</v>
      </c>
    </row>
    <row r="139" spans="1:7" x14ac:dyDescent="0.25">
      <c r="A139" s="1651"/>
      <c r="B139" s="1665"/>
      <c r="C139" s="1652"/>
      <c r="D139" s="1842"/>
      <c r="E139" s="1538">
        <f t="shared" si="19"/>
        <v>0</v>
      </c>
      <c r="F139" s="1934">
        <f t="shared" si="6"/>
        <v>0</v>
      </c>
      <c r="G139" s="1791">
        <f t="shared" si="20"/>
        <v>0</v>
      </c>
    </row>
    <row r="140" spans="1:7" x14ac:dyDescent="0.25">
      <c r="A140" s="1651"/>
      <c r="B140" s="1665"/>
      <c r="C140" s="1652"/>
      <c r="D140" s="1842"/>
      <c r="E140" s="1538">
        <f t="shared" si="19"/>
        <v>0</v>
      </c>
      <c r="F140" s="1934">
        <f t="shared" si="6"/>
        <v>0</v>
      </c>
      <c r="G140" s="1791">
        <f t="shared" si="20"/>
        <v>0</v>
      </c>
    </row>
    <row r="141" spans="1:7" x14ac:dyDescent="0.25">
      <c r="A141" s="1651"/>
      <c r="B141" s="1664"/>
      <c r="C141" s="1652"/>
      <c r="D141" s="1842"/>
      <c r="E141" s="1538">
        <f t="shared" si="2"/>
        <v>0</v>
      </c>
      <c r="F141" s="1934">
        <f t="shared" si="6"/>
        <v>0</v>
      </c>
      <c r="G141" s="1791">
        <f t="shared" si="3"/>
        <v>0</v>
      </c>
    </row>
    <row r="142" spans="1:7" x14ac:dyDescent="0.25">
      <c r="A142" s="1794" t="s">
        <v>156</v>
      </c>
      <c r="B142" s="1795"/>
      <c r="C142" s="1796"/>
      <c r="D142" s="1792">
        <f>SUM(D18:D141)</f>
        <v>1</v>
      </c>
      <c r="E142" s="1539">
        <f t="shared" si="0"/>
        <v>1</v>
      </c>
      <c r="F142" s="1930">
        <f>SUM(F18:F141)</f>
        <v>1</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0" t="s">
        <v>1679</v>
      </c>
      <c r="B5" s="2301"/>
      <c r="C5" s="2301"/>
      <c r="D5" s="2301"/>
      <c r="E5" s="2301"/>
      <c r="F5" s="2301"/>
      <c r="G5" s="2302"/>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305" t="s">
        <v>1974</v>
      </c>
      <c r="B11" s="2306"/>
      <c r="C11" s="2306"/>
      <c r="D11" s="230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2042290</v>
      </c>
      <c r="F19" s="1797"/>
      <c r="G19" s="1799">
        <f>'Expenditures 15-22'!K33-SUM('Expenditures 15-22'!G33,'Expenditures 15-22'!I33)+'Expenditures 15-22'!D229</f>
        <v>2042290</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1566132</v>
      </c>
      <c r="F21" s="1800"/>
      <c r="G21" s="1803">
        <f>'Expenditures 15-22'!K42-SUM('Expenditures 15-22'!G42,'Expenditures 15-22'!I42)+'Expenditures 15-22'!K120-SUM('Expenditures 15-22'!G120,'Expenditures 15-22'!I120)+'Expenditures 15-22'!K180-SUM('Expenditures 15-22'!G180,'Expenditures 15-22'!I180)+'Expenditures 15-22'!D238</f>
        <v>1566132</v>
      </c>
      <c r="H21" s="987"/>
      <c r="I21" s="162"/>
    </row>
    <row r="22" spans="1:9" s="668" customFormat="1" ht="12" customHeight="1" x14ac:dyDescent="0.2">
      <c r="A22" s="994" t="s">
        <v>564</v>
      </c>
      <c r="B22" s="995"/>
      <c r="C22" s="993">
        <v>2200</v>
      </c>
      <c r="D22" s="1800"/>
      <c r="E22" s="1802">
        <f>'Expenditures 15-22'!K47-SUM('Expenditures 15-22'!G47,'Expenditures 15-22'!I47)+'Expenditures 15-22'!D243</f>
        <v>87385</v>
      </c>
      <c r="F22" s="1800"/>
      <c r="G22" s="1803">
        <f>'Expenditures 15-22'!K47-SUM('Expenditures 15-22'!G47,'Expenditures 15-22'!I47)+'Expenditures 15-22'!D243</f>
        <v>87385</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685283</v>
      </c>
      <c r="F23" s="1800"/>
      <c r="G23" s="1802">
        <f>'Expenditures 15-22'!K53-SUM('Expenditures 15-22'!G53,'Expenditures 15-22'!I53)+'Expenditures 15-22'!D257+'Expenditures 15-22'!K330-SUM('Expenditures 15-22'!G330,'Expenditures 15-22'!I330)</f>
        <v>685283</v>
      </c>
      <c r="H23" s="987"/>
      <c r="I23" s="162"/>
    </row>
    <row r="24" spans="1:9" s="668" customFormat="1" ht="12" customHeight="1" x14ac:dyDescent="0.2">
      <c r="A24" s="994" t="s">
        <v>566</v>
      </c>
      <c r="B24" s="995"/>
      <c r="C24" s="993">
        <v>2400</v>
      </c>
      <c r="D24" s="1800"/>
      <c r="E24" s="1802">
        <f>'Expenditures 15-22'!K57-SUM('Expenditures 15-22'!G57,'Expenditures 15-22'!I57)+'Expenditures 15-22'!D261</f>
        <v>0</v>
      </c>
      <c r="F24" s="1800"/>
      <c r="G24" s="1803">
        <f>'Expenditures 15-22'!K57-SUM('Expenditures 15-22'!G57,'Expenditures 15-22'!I57)+'Expenditures 15-22'!D261</f>
        <v>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7397</v>
      </c>
      <c r="E26" s="1802">
        <f>'Expenditures 15-22'!K122-SUM('Expenditures 15-22'!G122,'Expenditures 15-22'!I122)+E7</f>
        <v>0</v>
      </c>
      <c r="F26" s="1802">
        <f>'Expenditures 15-22'!K59-SUM('Expenditures 15-22'!G59,'Expenditures 15-22'!I59)+'Expenditures 15-22'!D263-E7</f>
        <v>7397</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2500</v>
      </c>
      <c r="E27" s="1802">
        <f>E8</f>
        <v>0</v>
      </c>
      <c r="F27" s="1802">
        <f>'Expenditures 15-22'!K60-SUM('Expenditures 15-22'!G60,'Expenditures 15-22'!I60)+'Expenditures 15-22'!D264-E8</f>
        <v>2500</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159767</v>
      </c>
      <c r="F28" s="1804">
        <f>'Expenditures 15-22'!K61-SUM('Expenditures 15-22'!G61,'Expenditures 15-22'!I61)+'Expenditures 15-22'!K124-SUM('Expenditures 15-22'!G124,'Expenditures 15-22'!I124)+'Expenditures 15-22'!D266-E9</f>
        <v>159767</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0</v>
      </c>
      <c r="F29" s="1800"/>
      <c r="G29" s="1803">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0"/>
      <c r="E30" s="1802">
        <f>'Expenditures 15-22'!K63-SUM('Expenditures 15-22'!G63,'Expenditures 15-22'!I63)+'Expenditures 15-22'!D268-E10</f>
        <v>0</v>
      </c>
      <c r="F30" s="1800"/>
      <c r="G30" s="1802">
        <f>'Expenditures 15-22'!K63-SUM('Expenditures 15-22'!G63,'Expenditures 15-22'!I63)+'Expenditures 15-22'!D268-E10</f>
        <v>0</v>
      </c>
    </row>
    <row r="31" spans="1:9" ht="12" customHeight="1" x14ac:dyDescent="0.2">
      <c r="A31" s="994" t="s">
        <v>101</v>
      </c>
      <c r="B31" s="997"/>
      <c r="C31" s="993">
        <v>2570</v>
      </c>
      <c r="D31" s="1802">
        <f>'Expenditures 15-22'!K64-SUM('Expenditures 15-22'!G64,'Expenditures 15-22'!I64)+'Expenditures 15-22'!D269-E12</f>
        <v>9435</v>
      </c>
      <c r="E31" s="1802">
        <f>E12</f>
        <v>0</v>
      </c>
      <c r="F31" s="1802">
        <f>'Expenditures 15-22'!K64-SUM('Expenditures 15-22'!G64,'Expenditures 15-22'!I64)+'Expenditures 15-22'!D269-E12</f>
        <v>9435</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96805</v>
      </c>
      <c r="E37" s="1802">
        <f>E14</f>
        <v>0</v>
      </c>
      <c r="F37" s="1802">
        <f>'Expenditures 15-22'!K71-SUM('Expenditures 15-22'!G71,'Expenditures 15-22'!I71)+'Expenditures 15-22'!D276-E14</f>
        <v>96805</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0"/>
      <c r="E40" s="1804">
        <f>-'Contracts Paid in CY 29'!G142</f>
        <v>0</v>
      </c>
      <c r="F40" s="1800"/>
      <c r="G40" s="1804">
        <f>-'Contracts Paid in CY 29'!G142</f>
        <v>0</v>
      </c>
    </row>
    <row r="41" spans="1:7" ht="12" customHeight="1" x14ac:dyDescent="0.2">
      <c r="A41" s="998" t="s">
        <v>156</v>
      </c>
      <c r="B41" s="999"/>
      <c r="C41" s="1000"/>
      <c r="D41" s="1804">
        <f>SUM(D19:D39)</f>
        <v>116137</v>
      </c>
      <c r="E41" s="1804">
        <f>SUM(E19:E40)</f>
        <v>4540857</v>
      </c>
      <c r="F41" s="1804">
        <f>SUM(F19:F39)</f>
        <v>275904</v>
      </c>
      <c r="G41" s="1804">
        <f>SUM(G19:G40)</f>
        <v>4381090</v>
      </c>
    </row>
    <row r="42" spans="1:7" x14ac:dyDescent="0.2">
      <c r="A42" s="987"/>
      <c r="B42" s="162"/>
      <c r="C42" s="1001"/>
      <c r="D42" s="2303" t="s">
        <v>522</v>
      </c>
      <c r="E42" s="2304"/>
      <c r="F42" s="1002" t="s">
        <v>523</v>
      </c>
      <c r="G42" s="1003"/>
    </row>
    <row r="43" spans="1:7" ht="12" customHeight="1" x14ac:dyDescent="0.2">
      <c r="A43" s="987"/>
      <c r="B43" s="162"/>
      <c r="C43" s="1001"/>
      <c r="D43" s="1805" t="s">
        <v>473</v>
      </c>
      <c r="E43" s="1806">
        <f>D41</f>
        <v>116137</v>
      </c>
      <c r="F43" s="1805" t="s">
        <v>473</v>
      </c>
      <c r="G43" s="1806">
        <f>F41</f>
        <v>275904</v>
      </c>
    </row>
    <row r="44" spans="1:7" ht="12" customHeight="1" x14ac:dyDescent="0.2">
      <c r="A44" s="987"/>
      <c r="B44" s="162"/>
      <c r="C44" s="1001"/>
      <c r="D44" s="1805" t="s">
        <v>474</v>
      </c>
      <c r="E44" s="1806">
        <f>E41</f>
        <v>4540857</v>
      </c>
      <c r="F44" s="1805" t="s">
        <v>474</v>
      </c>
      <c r="G44" s="1806">
        <f>G41</f>
        <v>4381090</v>
      </c>
    </row>
    <row r="45" spans="1:7" ht="12" customHeight="1" x14ac:dyDescent="0.2">
      <c r="A45" s="987"/>
      <c r="B45" s="162"/>
      <c r="C45" s="162"/>
      <c r="D45" s="1807" t="s">
        <v>1006</v>
      </c>
      <c r="E45" s="1808">
        <f>(E43/E44)</f>
        <v>2.5576009110174578E-2</v>
      </c>
      <c r="F45" s="1807" t="s">
        <v>1006</v>
      </c>
      <c r="G45" s="1808">
        <f>(G43/G44)</f>
        <v>6.2976108685281515E-2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22" t="s">
        <v>1379</v>
      </c>
      <c r="B1" s="2322"/>
      <c r="C1" s="2322"/>
      <c r="D1" s="2322"/>
      <c r="E1" s="2322"/>
      <c r="F1" s="2322"/>
    </row>
    <row r="2" spans="1:10" x14ac:dyDescent="0.2">
      <c r="A2" s="1885" t="s">
        <v>1910</v>
      </c>
      <c r="B2" s="1846"/>
      <c r="C2" s="1885"/>
      <c r="D2" s="1846"/>
      <c r="E2" s="1846"/>
      <c r="F2" s="1847"/>
    </row>
    <row r="3" spans="1:10" x14ac:dyDescent="0.2">
      <c r="A3" s="1885" t="s">
        <v>1975</v>
      </c>
      <c r="B3" s="1846"/>
      <c r="C3" s="1885"/>
      <c r="D3" s="1846"/>
      <c r="E3" s="1846"/>
      <c r="F3" s="1847"/>
    </row>
    <row r="4" spans="1:10" ht="3.75" customHeight="1" x14ac:dyDescent="0.2">
      <c r="A4" s="1846"/>
      <c r="B4" s="1846"/>
      <c r="C4" s="1846"/>
      <c r="D4" s="1846"/>
      <c r="E4" s="1846"/>
      <c r="F4" s="1847"/>
    </row>
    <row r="5" spans="1:10" ht="15" x14ac:dyDescent="0.25">
      <c r="A5" s="2323" t="s">
        <v>1546</v>
      </c>
      <c r="B5" s="2324"/>
      <c r="C5" s="2325"/>
      <c r="D5" s="2325"/>
      <c r="E5" s="2325"/>
      <c r="F5" s="2325"/>
    </row>
    <row r="6" spans="1:10" ht="12" customHeight="1" x14ac:dyDescent="0.25">
      <c r="A6" s="1848"/>
      <c r="B6" s="1849"/>
      <c r="C6" s="2326" t="str">
        <f>COVER!A17</f>
        <v>Knox Warren Spec Ed Districts</v>
      </c>
      <c r="D6" s="2326"/>
      <c r="E6" s="2326"/>
      <c r="F6" s="1850"/>
    </row>
    <row r="7" spans="1:10" ht="11.25" customHeight="1" thickBot="1" x14ac:dyDescent="0.3">
      <c r="A7" s="1848"/>
      <c r="B7" s="1849"/>
      <c r="C7" s="2327">
        <f>COVER!A13</f>
        <v>33048801060</v>
      </c>
      <c r="D7" s="2327"/>
      <c r="E7" s="2327"/>
      <c r="F7" s="1850"/>
    </row>
    <row r="8" spans="1:10" ht="25.5" customHeight="1" thickBot="1" x14ac:dyDescent="0.25">
      <c r="A8" s="1891" t="s">
        <v>1906</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t="s">
        <v>2073</v>
      </c>
      <c r="D19" s="1863" t="s">
        <v>2073</v>
      </c>
      <c r="E19" s="1866"/>
      <c r="F19" s="1865" t="s">
        <v>2081</v>
      </c>
      <c r="H19" s="1876">
        <f t="shared" si="0"/>
        <v>5</v>
      </c>
      <c r="I19" s="1876">
        <f t="shared" si="1"/>
        <v>5</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2073</v>
      </c>
      <c r="D26" s="1863" t="s">
        <v>2073</v>
      </c>
      <c r="E26" s="1866"/>
      <c r="F26" s="1865" t="s">
        <v>2082</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10</v>
      </c>
      <c r="I34" s="1876">
        <f>SUM(I11:I32)</f>
        <v>10</v>
      </c>
      <c r="J34" s="1876">
        <f>SUM(J11:J32)</f>
        <v>0</v>
      </c>
      <c r="K34" s="1876">
        <f>SUM(H34:J34)</f>
        <v>20</v>
      </c>
    </row>
    <row r="35" spans="1:11" ht="12" customHeight="1" x14ac:dyDescent="0.2">
      <c r="A35" s="1869" t="s">
        <v>1392</v>
      </c>
      <c r="B35" s="1870"/>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1"/>
      <c r="B39" s="1871"/>
      <c r="C39" s="1871"/>
      <c r="D39" s="1871"/>
      <c r="E39" s="1871"/>
      <c r="F39" s="1871"/>
    </row>
    <row r="40" spans="1:11" s="1868" customFormat="1" ht="12" customHeight="1" x14ac:dyDescent="0.25">
      <c r="A40" s="1872" t="s">
        <v>1391</v>
      </c>
      <c r="B40" s="1873"/>
      <c r="C40" s="2317"/>
      <c r="D40" s="2317"/>
      <c r="E40" s="2317"/>
      <c r="F40" s="2318"/>
      <c r="H40" s="1877"/>
      <c r="I40" s="1877"/>
      <c r="J40" s="1877"/>
      <c r="K40" s="1877"/>
    </row>
    <row r="41" spans="1:11" s="1868" customFormat="1" ht="12" customHeight="1" x14ac:dyDescent="0.25">
      <c r="A41" s="2319" t="s">
        <v>2083</v>
      </c>
      <c r="B41" s="2320"/>
      <c r="C41" s="2320"/>
      <c r="D41" s="2320"/>
      <c r="E41" s="2320"/>
      <c r="F41" s="2321"/>
      <c r="H41" s="1877"/>
      <c r="I41" s="1877"/>
      <c r="J41" s="1877"/>
      <c r="K41" s="1877"/>
    </row>
    <row r="42" spans="1:11" s="1868" customFormat="1" ht="12" customHeight="1" x14ac:dyDescent="0.25">
      <c r="A42" s="2319"/>
      <c r="B42" s="2320"/>
      <c r="C42" s="2320"/>
      <c r="D42" s="2320"/>
      <c r="E42" s="2320"/>
      <c r="F42" s="2321"/>
      <c r="H42" s="1877"/>
      <c r="I42" s="1877"/>
      <c r="J42" s="1877"/>
      <c r="K42" s="1877"/>
    </row>
    <row r="43" spans="1:11" s="1868" customFormat="1" ht="15" x14ac:dyDescent="0.25">
      <c r="A43" s="2308"/>
      <c r="B43" s="2309"/>
      <c r="C43" s="2309"/>
      <c r="D43" s="2309"/>
      <c r="E43" s="2309"/>
      <c r="F43" s="2310"/>
      <c r="H43" s="1877"/>
      <c r="I43" s="1877"/>
      <c r="J43" s="1877"/>
      <c r="K43" s="1877"/>
    </row>
    <row r="44" spans="1:11" s="1868" customFormat="1" ht="12" hidden="1" customHeight="1" x14ac:dyDescent="0.25">
      <c r="A44" s="2308"/>
      <c r="B44" s="2309"/>
      <c r="C44" s="2309"/>
      <c r="D44" s="2309"/>
      <c r="E44" s="2309"/>
      <c r="F44" s="2310"/>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Header>&amp;L&amp;8Page 31&amp;R&amp;8Page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35" t="str">
        <f>COVER!A17</f>
        <v>Knox Warren Spec Ed Districts</v>
      </c>
      <c r="J6" s="2336"/>
      <c r="Q6" s="1662"/>
    </row>
    <row r="7" spans="1:17" x14ac:dyDescent="0.2">
      <c r="A7" s="2337" t="s">
        <v>869</v>
      </c>
      <c r="B7" s="2338"/>
      <c r="C7" s="2338"/>
      <c r="D7" s="2338"/>
      <c r="E7" s="2339"/>
      <c r="F7" s="1017"/>
      <c r="G7" s="1009"/>
      <c r="H7" s="1016" t="s">
        <v>372</v>
      </c>
      <c r="I7" s="2340">
        <f>COVER!A13</f>
        <v>33048801060</v>
      </c>
      <c r="J7" s="2340"/>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1976</v>
      </c>
      <c r="F9" s="1023"/>
      <c r="G9" s="1023"/>
      <c r="H9" s="1894"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1" t="s">
        <v>481</v>
      </c>
      <c r="B11" s="2342"/>
      <c r="C11" s="234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63216</v>
      </c>
      <c r="F12" s="1039"/>
      <c r="G12" s="1809">
        <f t="shared" ref="G12:G18" si="0">SUM(E12:F12)</f>
        <v>63216</v>
      </c>
      <c r="H12" s="1040"/>
      <c r="I12" s="1039"/>
      <c r="J12" s="1809">
        <f t="shared" ref="J12:J18" si="1">SUM(H12:I12)</f>
        <v>0</v>
      </c>
    </row>
    <row r="13" spans="1:17" ht="15" customHeight="1" x14ac:dyDescent="0.2">
      <c r="A13" s="1035">
        <v>2</v>
      </c>
      <c r="B13" s="1036" t="s">
        <v>42</v>
      </c>
      <c r="C13" s="1037"/>
      <c r="D13" s="1038">
        <v>2330</v>
      </c>
      <c r="E13" s="1809">
        <f>'Expenditures 15-22'!K51</f>
        <v>532088</v>
      </c>
      <c r="F13" s="1039"/>
      <c r="G13" s="1809">
        <f t="shared" si="0"/>
        <v>532088</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7397</v>
      </c>
      <c r="F15" s="1809">
        <f>'Expenditures 15-22'!K122</f>
        <v>0</v>
      </c>
      <c r="G15" s="1809">
        <f t="shared" si="0"/>
        <v>7397</v>
      </c>
      <c r="H15" s="1040"/>
      <c r="I15" s="1040"/>
      <c r="J15" s="1809">
        <f t="shared" si="1"/>
        <v>0</v>
      </c>
    </row>
    <row r="16" spans="1:17" ht="15" customHeight="1" x14ac:dyDescent="0.2">
      <c r="A16" s="1035">
        <v>5</v>
      </c>
      <c r="B16" s="1036" t="s">
        <v>101</v>
      </c>
      <c r="C16" s="1037"/>
      <c r="D16" s="1038">
        <v>2570</v>
      </c>
      <c r="E16" s="1809">
        <f>'Expenditures 15-22'!K64</f>
        <v>38949</v>
      </c>
      <c r="F16" s="1039"/>
      <c r="G16" s="1809">
        <f t="shared" si="0"/>
        <v>38949</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44" t="s">
        <v>7</v>
      </c>
      <c r="C18" s="2345"/>
      <c r="D18" s="2346"/>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641650</v>
      </c>
      <c r="F19" s="1811">
        <f t="shared" si="2"/>
        <v>0</v>
      </c>
      <c r="G19" s="1811">
        <f t="shared" si="2"/>
        <v>641650</v>
      </c>
      <c r="H19" s="1811">
        <f t="shared" si="2"/>
        <v>0</v>
      </c>
      <c r="I19" s="1811">
        <f t="shared" si="2"/>
        <v>0</v>
      </c>
      <c r="J19" s="1811">
        <f t="shared" si="2"/>
        <v>0</v>
      </c>
    </row>
    <row r="20" spans="1:10" ht="13.5" thickTop="1" x14ac:dyDescent="0.2">
      <c r="A20" s="1035">
        <v>9</v>
      </c>
      <c r="B20" s="2347" t="s">
        <v>1978</v>
      </c>
      <c r="C20" s="2347"/>
      <c r="D20" s="2348"/>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1033</v>
      </c>
      <c r="D27" s="1052"/>
      <c r="E27" s="1053"/>
      <c r="F27" s="2349" t="s">
        <v>1509</v>
      </c>
      <c r="G27" s="2349"/>
    </row>
    <row r="28" spans="1:10" ht="28.5" customHeight="1" x14ac:dyDescent="0.2">
      <c r="B28" s="1047"/>
      <c r="C28" s="2351"/>
      <c r="D28" s="2351"/>
      <c r="E28" s="1054"/>
      <c r="F28" s="2351"/>
      <c r="G28" s="2351"/>
    </row>
    <row r="29" spans="1:10" x14ac:dyDescent="0.2">
      <c r="B29" s="1047"/>
      <c r="C29" s="1055" t="s">
        <v>1561</v>
      </c>
      <c r="E29" s="1056"/>
      <c r="F29" s="2350" t="s">
        <v>1510</v>
      </c>
      <c r="G29" s="235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1980</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882</v>
      </c>
      <c r="D39" s="2331"/>
      <c r="E39" s="2331"/>
      <c r="F39" s="2331"/>
      <c r="G39" s="2331"/>
      <c r="H39" s="2331"/>
      <c r="I39" s="233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topLeftCell="A16" zoomScale="110" zoomScaleNormal="110" workbookViewId="0">
      <selection activeCell="A61" sqref="A61:XFD6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2102</v>
      </c>
    </row>
    <row r="6" spans="1:2" x14ac:dyDescent="0.2">
      <c r="A6" s="1068">
        <v>2</v>
      </c>
      <c r="B6" s="329" t="s">
        <v>2103</v>
      </c>
    </row>
    <row r="7" spans="1:2" x14ac:dyDescent="0.2">
      <c r="A7" s="1068"/>
      <c r="B7" s="329" t="s">
        <v>2104</v>
      </c>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Knox Warren Spec Ed Districts</v>
      </c>
    </row>
    <row r="62" spans="1:2" x14ac:dyDescent="0.2">
      <c r="B62" s="1070">
        <f>COVER!A13</f>
        <v>33048801060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4" t="s">
        <v>1611</v>
      </c>
    </row>
    <row r="23" spans="1:5" x14ac:dyDescent="0.2">
      <c r="A23" s="168"/>
      <c r="B23" s="162" t="s">
        <v>1855</v>
      </c>
      <c r="D23" s="167" t="s">
        <v>637</v>
      </c>
      <c r="E23" s="1834"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autoPict="0" r:id="rId5">
            <anchor moveWithCells="1">
              <from>
                <xdr:col>1</xdr:col>
                <xdr:colOff>257175</xdr:colOff>
                <xdr:row>4</xdr:row>
                <xdr:rowOff>57150</xdr:rowOff>
              </from>
              <to>
                <xdr:col>1</xdr:col>
                <xdr:colOff>1171575</xdr:colOff>
                <xdr:row>8</xdr:row>
                <xdr:rowOff>57150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1276350</xdr:colOff>
                <xdr:row>4</xdr:row>
                <xdr:rowOff>19050</xdr:rowOff>
              </from>
              <to>
                <xdr:col>1</xdr:col>
                <xdr:colOff>2190750</xdr:colOff>
                <xdr:row>8</xdr:row>
                <xdr:rowOff>57150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1984</v>
      </c>
      <c r="B2" s="2366"/>
      <c r="C2" s="2366"/>
      <c r="D2" s="2366"/>
      <c r="E2" s="2366"/>
      <c r="F2" s="2367"/>
      <c r="G2" s="1074"/>
      <c r="H2" s="1074"/>
    </row>
    <row r="3" spans="1:8" ht="57" customHeight="1" x14ac:dyDescent="0.2">
      <c r="A3" s="2368" t="s">
        <v>1686</v>
      </c>
      <c r="B3" s="2369"/>
      <c r="C3" s="2369"/>
      <c r="D3" s="2369"/>
      <c r="E3" s="2369"/>
      <c r="F3" s="2370"/>
      <c r="G3" s="1074"/>
      <c r="H3" s="1074"/>
    </row>
    <row r="4" spans="1:8" ht="14.25" customHeight="1" x14ac:dyDescent="0.2">
      <c r="A4" s="2374" t="s">
        <v>1985</v>
      </c>
      <c r="B4" s="2375"/>
      <c r="C4" s="2375"/>
      <c r="D4" s="2375"/>
      <c r="E4" s="2375"/>
      <c r="F4" s="2376"/>
      <c r="G4" s="1074"/>
      <c r="H4" s="1074"/>
    </row>
    <row r="5" spans="1:8" ht="14.25" customHeight="1" x14ac:dyDescent="0.2">
      <c r="A5" s="2377" t="s">
        <v>1981</v>
      </c>
      <c r="B5" s="2378"/>
      <c r="C5" s="2378"/>
      <c r="D5" s="2378"/>
      <c r="E5" s="2378"/>
      <c r="F5" s="2379"/>
      <c r="G5" s="1074"/>
      <c r="H5" s="1074"/>
    </row>
    <row r="6" spans="1:8" s="1075" customFormat="1" ht="41.25" customHeight="1" x14ac:dyDescent="0.2">
      <c r="A6" s="2371" t="s">
        <v>1691</v>
      </c>
      <c r="B6" s="2372"/>
      <c r="C6" s="2372"/>
      <c r="D6" s="2372"/>
      <c r="E6" s="2372"/>
      <c r="F6" s="237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5056334</v>
      </c>
      <c r="C8" s="1813">
        <f>'Acct Summary 7-8'!D8</f>
        <v>0</v>
      </c>
      <c r="D8" s="1813">
        <f>'Acct Summary 7-8'!F8</f>
        <v>0</v>
      </c>
      <c r="E8" s="1813">
        <f>'Acct Summary 7-8'!I8</f>
        <v>0</v>
      </c>
      <c r="F8" s="1813">
        <f>SUM(B8:E8)</f>
        <v>5056334</v>
      </c>
    </row>
    <row r="9" spans="1:8" s="1079" customFormat="1" ht="14.25" customHeight="1" thickBot="1" x14ac:dyDescent="0.25">
      <c r="A9" s="1078" t="s">
        <v>1369</v>
      </c>
      <c r="B9" s="1814">
        <f>'Acct Summary 7-8'!C17</f>
        <v>4707985</v>
      </c>
      <c r="C9" s="1814">
        <f>'Acct Summary 7-8'!D17</f>
        <v>0</v>
      </c>
      <c r="D9" s="1814">
        <f>'Acct Summary 7-8'!F17</f>
        <v>0</v>
      </c>
      <c r="E9" s="1813"/>
      <c r="F9" s="1813">
        <f>SUM(B9:E9)</f>
        <v>4707985</v>
      </c>
    </row>
    <row r="10" spans="1:8" s="1079" customFormat="1" ht="14.25" thickTop="1" thickBot="1" x14ac:dyDescent="0.25">
      <c r="A10" s="1080" t="s">
        <v>1370</v>
      </c>
      <c r="B10" s="1815">
        <f>(B8-B9)</f>
        <v>348349</v>
      </c>
      <c r="C10" s="1815">
        <f>(C8-C9)</f>
        <v>0</v>
      </c>
      <c r="D10" s="1815">
        <f>(D8-D9)</f>
        <v>0</v>
      </c>
      <c r="E10" s="1814">
        <f>(E8-E9)</f>
        <v>0</v>
      </c>
      <c r="F10" s="1816">
        <f>SUM(F8-F9)</f>
        <v>348349</v>
      </c>
    </row>
    <row r="11" spans="1:8" s="1079" customFormat="1" ht="14.25" thickTop="1" thickBot="1" x14ac:dyDescent="0.25">
      <c r="A11" s="1081" t="s">
        <v>1982</v>
      </c>
      <c r="B11" s="1817">
        <f>'Acct Summary 7-8'!C81</f>
        <v>1066886</v>
      </c>
      <c r="C11" s="1817">
        <f>'Acct Summary 7-8'!D81</f>
        <v>0</v>
      </c>
      <c r="D11" s="1817">
        <f>'Acct Summary 7-8'!F81</f>
        <v>0</v>
      </c>
      <c r="E11" s="1817">
        <f>'Acct Summary 7-8'!I81</f>
        <v>0</v>
      </c>
      <c r="F11" s="1818">
        <f>SUM(B11:E11)</f>
        <v>1066886</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10" customFormat="1" ht="51.75" hidden="1" customHeight="1" x14ac:dyDescent="0.2">
      <c r="A16" s="2358" t="s">
        <v>1687</v>
      </c>
      <c r="B16" s="2358"/>
      <c r="C16" s="2358"/>
      <c r="D16" s="2358"/>
      <c r="E16" s="235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2"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80" t="s">
        <v>665</v>
      </c>
      <c r="B3" s="2381"/>
      <c r="C3" s="2381"/>
      <c r="D3" s="2382"/>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1" t="s">
        <v>1504</v>
      </c>
      <c r="D7" s="2392"/>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3" t="s">
        <v>1008</v>
      </c>
      <c r="B15" s="2384"/>
      <c r="C15" s="2384"/>
      <c r="D15" s="2385"/>
    </row>
    <row r="16" spans="1:4" s="668" customFormat="1" ht="24" customHeight="1" x14ac:dyDescent="0.2">
      <c r="A16" s="2386" t="s">
        <v>663</v>
      </c>
      <c r="B16" s="2387"/>
      <c r="C16" s="2387"/>
      <c r="D16" s="238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5" t="s">
        <v>314</v>
      </c>
      <c r="D21" s="2396"/>
    </row>
    <row r="22" spans="1:10" ht="12.75" x14ac:dyDescent="0.2">
      <c r="A22" s="1139"/>
      <c r="B22" s="1140">
        <v>2</v>
      </c>
      <c r="C22" s="2393" t="s">
        <v>1524</v>
      </c>
      <c r="D22" s="239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7" t="s">
        <v>536</v>
      </c>
      <c r="D43" s="239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9" t="s">
        <v>784</v>
      </c>
      <c r="D56" s="239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89" t="s">
        <v>1696</v>
      </c>
      <c r="D70" s="239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33048801060</v>
      </c>
    </row>
    <row r="3" spans="1:2" x14ac:dyDescent="0.2">
      <c r="A3" t="s">
        <v>956</v>
      </c>
      <c r="B3" s="138" t="str">
        <f>COVER!A15</f>
        <v>Knox and Warren</v>
      </c>
    </row>
    <row r="4" spans="1:2" x14ac:dyDescent="0.2">
      <c r="A4" t="s">
        <v>1007</v>
      </c>
      <c r="B4" s="138" t="str">
        <f>COVER!A17</f>
        <v>Knox Warren Spec Ed Districts</v>
      </c>
    </row>
    <row r="5" spans="1:2" x14ac:dyDescent="0.2">
      <c r="A5" t="s">
        <v>704</v>
      </c>
      <c r="B5" s="138" t="str">
        <f>COVER!A38</f>
        <v>Zach Crowl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066-004769</v>
      </c>
    </row>
    <row r="16" spans="1:2" x14ac:dyDescent="0.2">
      <c r="A16" t="s">
        <v>422</v>
      </c>
      <c r="B16" s="138" t="str">
        <f>COVER!T13</f>
        <v>Meister, Hilton, Chitwood &amp; Associates, Inc.</v>
      </c>
    </row>
    <row r="17" spans="1:2" x14ac:dyDescent="0.2">
      <c r="A17" t="s">
        <v>884</v>
      </c>
      <c r="B17" s="138" t="str">
        <f>COVER!T15</f>
        <v>Ron Hilton</v>
      </c>
    </row>
    <row r="18" spans="1:2" x14ac:dyDescent="0.2">
      <c r="A18" t="s">
        <v>1150</v>
      </c>
      <c r="B18" s="138" t="str">
        <f>COVER!T17</f>
        <v>809 W. Detweiller Drive, Suite 806</v>
      </c>
    </row>
    <row r="19" spans="1:2" x14ac:dyDescent="0.2">
      <c r="A19" t="s">
        <v>886</v>
      </c>
      <c r="B19" s="138" t="str">
        <f>COVER!T25</f>
        <v>ron.hilton1@comcast.net</v>
      </c>
    </row>
    <row r="20" spans="1:2" x14ac:dyDescent="0.2">
      <c r="A20" t="s">
        <v>887</v>
      </c>
      <c r="B20" s="138" t="str">
        <f>COVER!T19</f>
        <v>Peoria</v>
      </c>
    </row>
    <row r="21" spans="1:2" x14ac:dyDescent="0.2">
      <c r="A21" t="s">
        <v>479</v>
      </c>
      <c r="B21" s="138" t="str">
        <f>COVER!X19</f>
        <v>IL</v>
      </c>
    </row>
    <row r="22" spans="1:2" x14ac:dyDescent="0.2">
      <c r="A22" t="s">
        <v>888</v>
      </c>
      <c r="B22" s="138">
        <f>COVER!Z19</f>
        <v>61615</v>
      </c>
    </row>
    <row r="23" spans="1:2" x14ac:dyDescent="0.2">
      <c r="A23" t="s">
        <v>1152</v>
      </c>
      <c r="B23" s="138" t="str">
        <f>COVER!T21</f>
        <v>(309) 683-0441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504068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2939017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1008846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1872131</v>
      </c>
      <c r="C91" s="2" t="s">
        <v>573</v>
      </c>
      <c r="D91" s="2" t="str">
        <f t="shared" si="0"/>
        <v>Error?</v>
      </c>
    </row>
    <row r="92" spans="1:4" x14ac:dyDescent="0.2">
      <c r="A92" s="5">
        <v>31</v>
      </c>
      <c r="B92" s="138">
        <f>'Assets-Liab 5-6'!C39</f>
        <v>747272</v>
      </c>
      <c r="D92" s="2" t="str">
        <f t="shared" si="0"/>
        <v>Error?</v>
      </c>
    </row>
    <row r="93" spans="1:4" x14ac:dyDescent="0.2">
      <c r="A93" s="5">
        <v>32</v>
      </c>
      <c r="B93" s="138">
        <f>'Assets-Liab 5-6'!C41</f>
        <v>2939017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41546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41546</v>
      </c>
      <c r="C279" s="2" t="s">
        <v>573</v>
      </c>
      <c r="D279" s="2" t="str">
        <f t="shared" si="3"/>
        <v>Error?</v>
      </c>
    </row>
    <row r="280" spans="1:4" x14ac:dyDescent="0.2">
      <c r="A280" s="5">
        <v>219</v>
      </c>
      <c r="B280" s="138">
        <f>'Assets-Liab 5-6'!M40</f>
        <v>41546</v>
      </c>
      <c r="D280" s="2" t="str">
        <f t="shared" si="3"/>
        <v>Error?</v>
      </c>
    </row>
    <row r="281" spans="1:4" x14ac:dyDescent="0.2">
      <c r="A281" s="5">
        <v>220</v>
      </c>
      <c r="B281" s="138">
        <f>'Assets-Liab 5-6'!M41</f>
        <v>41546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1539335</v>
      </c>
      <c r="C720" s="2" t="s">
        <v>573</v>
      </c>
      <c r="D720" s="2" t="str">
        <f t="shared" si="10"/>
        <v>Error?</v>
      </c>
    </row>
    <row r="721" spans="1:4" x14ac:dyDescent="0.2">
      <c r="A721" s="5">
        <v>660</v>
      </c>
      <c r="B721" s="138">
        <f>'Expenditures 15-22'!C36</f>
        <v>251793</v>
      </c>
      <c r="D721" s="2" t="str">
        <f t="shared" si="10"/>
        <v>Error?</v>
      </c>
    </row>
    <row r="722" spans="1:4" x14ac:dyDescent="0.2">
      <c r="A722" s="5">
        <v>661</v>
      </c>
      <c r="B722" s="138">
        <f>'Expenditures 15-22'!C37</f>
        <v>25640</v>
      </c>
      <c r="D722" s="2" t="str">
        <f t="shared" si="10"/>
        <v>Error?</v>
      </c>
    </row>
    <row r="723" spans="1:4" x14ac:dyDescent="0.2">
      <c r="A723" s="5">
        <v>662</v>
      </c>
      <c r="B723" s="138">
        <f>'Expenditures 15-22'!C38</f>
        <v>344967</v>
      </c>
      <c r="D723" s="2" t="str">
        <f t="shared" si="10"/>
        <v>Error?</v>
      </c>
    </row>
    <row r="724" spans="1:4" x14ac:dyDescent="0.2">
      <c r="A724" s="5">
        <v>663</v>
      </c>
      <c r="B724" s="138">
        <f>'Expenditures 15-22'!C39</f>
        <v>232290</v>
      </c>
      <c r="D724" s="2" t="str">
        <f t="shared" si="10"/>
        <v>Error?</v>
      </c>
    </row>
    <row r="725" spans="1:4" x14ac:dyDescent="0.2">
      <c r="A725" s="5">
        <v>664</v>
      </c>
      <c r="B725" s="138">
        <f>'Expenditures 15-22'!C40</f>
        <v>474873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1329563</v>
      </c>
      <c r="C727" s="2" t="s">
        <v>573</v>
      </c>
      <c r="D727" s="2" t="str">
        <f t="shared" si="10"/>
        <v>Error?</v>
      </c>
    </row>
    <row r="728" spans="1:4" x14ac:dyDescent="0.2">
      <c r="A728" s="5">
        <v>667</v>
      </c>
      <c r="B728" s="138">
        <f>'Expenditures 15-22'!C44</f>
        <v>33661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33661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387684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1750908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3290243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352618</v>
      </c>
      <c r="C778" s="2" t="s">
        <v>573</v>
      </c>
      <c r="D778" s="2" t="str">
        <f t="shared" si="11"/>
        <v>Error?</v>
      </c>
    </row>
    <row r="779" spans="1:4" x14ac:dyDescent="0.2">
      <c r="A779" s="5">
        <v>718</v>
      </c>
      <c r="B779" s="138">
        <f>'Expenditures 15-22'!D36</f>
        <v>28265</v>
      </c>
      <c r="D779" s="2" t="str">
        <f t="shared" si="11"/>
        <v>Error?</v>
      </c>
    </row>
    <row r="780" spans="1:4" x14ac:dyDescent="0.2">
      <c r="A780" s="5">
        <v>719</v>
      </c>
      <c r="B780" s="138">
        <f>'Expenditures 15-22'!D37</f>
        <v>10255</v>
      </c>
      <c r="D780" s="2" t="str">
        <f t="shared" si="11"/>
        <v>Error?</v>
      </c>
    </row>
    <row r="781" spans="1:4" x14ac:dyDescent="0.2">
      <c r="A781" s="5">
        <v>720</v>
      </c>
      <c r="B781" s="138">
        <f>'Expenditures 15-22'!D38</f>
        <v>72804</v>
      </c>
      <c r="D781" s="2" t="str">
        <f t="shared" si="11"/>
        <v>Error?</v>
      </c>
    </row>
    <row r="782" spans="1:4" x14ac:dyDescent="0.2">
      <c r="A782" s="5">
        <v>721</v>
      </c>
      <c r="B782" s="138">
        <f>'Expenditures 15-22'!D39</f>
        <v>31593</v>
      </c>
      <c r="D782" s="2" t="str">
        <f t="shared" si="11"/>
        <v>Error?</v>
      </c>
    </row>
    <row r="783" spans="1:4" x14ac:dyDescent="0.2">
      <c r="A783" s="5">
        <v>722</v>
      </c>
      <c r="B783" s="138">
        <f>'Expenditures 15-22'!D40</f>
        <v>43932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186849</v>
      </c>
      <c r="C785" s="2" t="s">
        <v>573</v>
      </c>
      <c r="D785" s="2" t="str">
        <f t="shared" si="11"/>
        <v>Error?</v>
      </c>
    </row>
    <row r="786" spans="1:4" x14ac:dyDescent="0.2">
      <c r="A786" s="5">
        <v>725</v>
      </c>
      <c r="B786" s="138">
        <f>'Expenditures 15-22'!D44</f>
        <v>4719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4719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100274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291842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644460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42574</v>
      </c>
      <c r="C836" s="2" t="s">
        <v>573</v>
      </c>
      <c r="D836" s="2" t="str">
        <f t="shared" si="12"/>
        <v>Error?</v>
      </c>
    </row>
    <row r="837" spans="1:4" x14ac:dyDescent="0.2">
      <c r="A837" s="5">
        <v>776</v>
      </c>
      <c r="B837" s="138">
        <f>'Expenditures 15-22'!E36</f>
        <v>10721</v>
      </c>
      <c r="D837" s="2" t="str">
        <f t="shared" si="12"/>
        <v>Error?</v>
      </c>
    </row>
    <row r="838" spans="1:4" x14ac:dyDescent="0.2">
      <c r="A838" s="5">
        <v>777</v>
      </c>
      <c r="B838" s="138">
        <f>'Expenditures 15-22'!E37</f>
        <v>5573</v>
      </c>
      <c r="D838" s="2" t="str">
        <f t="shared" si="12"/>
        <v>Error?</v>
      </c>
    </row>
    <row r="839" spans="1:4" x14ac:dyDescent="0.2">
      <c r="A839" s="5">
        <v>778</v>
      </c>
      <c r="B839" s="138">
        <f>'Expenditures 15-22'!E38</f>
        <v>15328</v>
      </c>
      <c r="D839" s="2" t="str">
        <f t="shared" si="12"/>
        <v>Error?</v>
      </c>
    </row>
    <row r="840" spans="1:4" x14ac:dyDescent="0.2">
      <c r="A840" s="5">
        <v>779</v>
      </c>
      <c r="B840" s="138">
        <f>'Expenditures 15-22'!E39</f>
        <v>7558</v>
      </c>
      <c r="D840" s="2" t="str">
        <f t="shared" si="12"/>
        <v>Error?</v>
      </c>
    </row>
    <row r="841" spans="1:4" x14ac:dyDescent="0.2">
      <c r="A841" s="5">
        <v>780</v>
      </c>
      <c r="B841" s="138">
        <f>'Expenditures 15-22'!E40</f>
        <v>10102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49282</v>
      </c>
      <c r="C843" s="2" t="s">
        <v>573</v>
      </c>
      <c r="D843" s="2" t="str">
        <f t="shared" si="12"/>
        <v>Error?</v>
      </c>
    </row>
    <row r="844" spans="1:4" x14ac:dyDescent="0.2">
      <c r="A844" s="5">
        <v>783</v>
      </c>
      <c r="B844" s="138">
        <f>'Expenditures 15-22'!E44</f>
        <v>20513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20513</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31491</v>
      </c>
      <c r="D849" s="2" t="str">
        <f t="shared" si="12"/>
        <v>Error?</v>
      </c>
    </row>
    <row r="850" spans="1:4" x14ac:dyDescent="0.2">
      <c r="A850" s="5">
        <v>789</v>
      </c>
      <c r="B850" s="138">
        <f>'Expenditures 15-22'!E53</f>
        <v>157862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7397</v>
      </c>
      <c r="D854" s="2" t="str">
        <f t="shared" si="12"/>
        <v>Error?</v>
      </c>
    </row>
    <row r="855" spans="1:4" x14ac:dyDescent="0.2">
      <c r="A855" s="5">
        <v>794</v>
      </c>
      <c r="B855" s="138">
        <f>'Expenditures 15-22'!E60</f>
        <v>2500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9348</v>
      </c>
      <c r="D859" s="2" t="str">
        <f t="shared" si="12"/>
        <v>Error?</v>
      </c>
    </row>
    <row r="860" spans="1:4" x14ac:dyDescent="0.2">
      <c r="A860" s="10">
        <v>799</v>
      </c>
      <c r="D860" s="2" t="str">
        <f t="shared" si="12"/>
        <v>OK</v>
      </c>
    </row>
    <row r="861" spans="1:4" x14ac:dyDescent="0.2">
      <c r="A861" s="5">
        <v>800</v>
      </c>
      <c r="B861" s="138">
        <f>'Expenditures 15-22'!E65</f>
        <v>19245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6666</v>
      </c>
      <c r="D867" s="2" t="str">
        <f t="shared" si="12"/>
        <v>Error?</v>
      </c>
    </row>
    <row r="868" spans="1:4" x14ac:dyDescent="0.2">
      <c r="A868" s="10">
        <v>807</v>
      </c>
      <c r="D868" s="2" t="str">
        <f t="shared" si="12"/>
        <v>OK</v>
      </c>
    </row>
    <row r="869" spans="1:4" x14ac:dyDescent="0.2">
      <c r="A869" s="5">
        <v>808</v>
      </c>
      <c r="B869" s="138">
        <f>'Expenditures 15-22'!E72</f>
        <v>6666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253568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296142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82763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438</v>
      </c>
      <c r="C901" s="2" t="s">
        <v>573</v>
      </c>
      <c r="D901" s="2" t="str">
        <f t="shared" si="13"/>
        <v>Error?</v>
      </c>
    </row>
    <row r="902" spans="1:4" x14ac:dyDescent="0.2">
      <c r="A902" s="5">
        <v>841</v>
      </c>
      <c r="B902" s="138">
        <f>'Expenditures 15-22'!F44</f>
        <v>6957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21535</v>
      </c>
      <c r="D904" s="2" t="str">
        <f t="shared" si="13"/>
        <v>Error?</v>
      </c>
    </row>
    <row r="905" spans="1:4" x14ac:dyDescent="0.2">
      <c r="A905" s="5">
        <v>844</v>
      </c>
      <c r="B905" s="138">
        <f>'Expenditures 15-22'!F47</f>
        <v>28492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17693</v>
      </c>
      <c r="D907" s="2" t="str">
        <f t="shared" si="13"/>
        <v>Error?</v>
      </c>
    </row>
    <row r="908" spans="1:4" x14ac:dyDescent="0.2">
      <c r="A908" s="5">
        <v>847</v>
      </c>
      <c r="B908" s="138">
        <f>'Expenditures 15-22'!F53</f>
        <v>26405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3767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87</v>
      </c>
      <c r="D917" s="2" t="str">
        <f t="shared" si="13"/>
        <v>Error?</v>
      </c>
    </row>
    <row r="918" spans="1:4" x14ac:dyDescent="0.2">
      <c r="A918" s="10">
        <v>857</v>
      </c>
      <c r="D918" s="2" t="str">
        <f t="shared" si="13"/>
        <v>OK</v>
      </c>
    </row>
    <row r="919" spans="1:4" x14ac:dyDescent="0.2">
      <c r="A919" s="5">
        <v>858</v>
      </c>
      <c r="B919" s="138">
        <f>'Expenditures 15-22'!F65</f>
        <v>3854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9139</v>
      </c>
      <c r="D925" s="2" t="str">
        <f t="shared" si="13"/>
        <v>Error?</v>
      </c>
    </row>
    <row r="926" spans="1:4" x14ac:dyDescent="0.2">
      <c r="A926" s="10">
        <v>865</v>
      </c>
      <c r="D926" s="2" t="str">
        <f t="shared" si="13"/>
        <v>OK</v>
      </c>
    </row>
    <row r="927" spans="1:4" x14ac:dyDescent="0.2">
      <c r="A927" s="5">
        <v>866</v>
      </c>
      <c r="B927" s="138">
        <f>'Expenditures 15-22'!F72</f>
        <v>9139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68328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151091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25665</v>
      </c>
      <c r="D975" s="2" t="str">
        <f t="shared" si="14"/>
        <v>Error?</v>
      </c>
    </row>
    <row r="976" spans="1:4" x14ac:dyDescent="0.2">
      <c r="A976" s="10">
        <v>915</v>
      </c>
      <c r="D976" s="2" t="str">
        <f t="shared" si="14"/>
        <v>OK</v>
      </c>
    </row>
    <row r="977" spans="1:4" x14ac:dyDescent="0.2">
      <c r="A977" s="5">
        <v>916</v>
      </c>
      <c r="B977" s="138">
        <f>'Expenditures 15-22'!G65</f>
        <v>25665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25665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25665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25000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13058</v>
      </c>
      <c r="D1023" s="2" t="str">
        <f t="shared" ref="D1023:D1086" si="15">IF(ISBLANK(B1023),"OK",IF(A1023-B1023=0,"OK","Error?"))</f>
        <v>Error?</v>
      </c>
    </row>
    <row r="1024" spans="1:4" x14ac:dyDescent="0.2">
      <c r="A1024" s="5">
        <v>963</v>
      </c>
      <c r="B1024" s="138">
        <f>'Expenditures 15-22'!H53</f>
        <v>13058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156000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156000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81000</v>
      </c>
      <c r="D1041" s="2" t="str">
        <f t="shared" si="15"/>
        <v>Error?</v>
      </c>
    </row>
    <row r="1042" spans="1:4" x14ac:dyDescent="0.2">
      <c r="A1042" s="10">
        <v>981</v>
      </c>
      <c r="D1042" s="2" t="str">
        <f t="shared" si="15"/>
        <v>OK</v>
      </c>
    </row>
    <row r="1043" spans="1:4" x14ac:dyDescent="0.2">
      <c r="A1043" s="5">
        <v>982</v>
      </c>
      <c r="B1043" s="138">
        <f>'Expenditures 15-22'!H72</f>
        <v>81000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250058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3925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278983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2042290</v>
      </c>
      <c r="C1108" s="2" t="s">
        <v>573</v>
      </c>
      <c r="D1108" s="2" t="str">
        <f t="shared" si="16"/>
        <v>Error?</v>
      </c>
    </row>
    <row r="1109" spans="1:4" x14ac:dyDescent="0.2">
      <c r="A1109" s="5">
        <v>1048</v>
      </c>
      <c r="B1109" s="138">
        <f>'Expenditures 15-22'!K36</f>
        <v>290779</v>
      </c>
      <c r="C1109" s="2" t="s">
        <v>573</v>
      </c>
      <c r="D1109" s="2" t="str">
        <f t="shared" si="16"/>
        <v>Error?</v>
      </c>
    </row>
    <row r="1110" spans="1:4" x14ac:dyDescent="0.2">
      <c r="A1110" s="5">
        <v>1049</v>
      </c>
      <c r="B1110" s="138">
        <f>'Expenditures 15-22'!K37</f>
        <v>41630</v>
      </c>
      <c r="C1110" s="2" t="s">
        <v>573</v>
      </c>
      <c r="D1110" s="2" t="str">
        <f t="shared" si="16"/>
        <v>Error?</v>
      </c>
    </row>
    <row r="1111" spans="1:4" x14ac:dyDescent="0.2">
      <c r="A1111" s="5">
        <v>1050</v>
      </c>
      <c r="B1111" s="138">
        <f>'Expenditures 15-22'!K38</f>
        <v>433099</v>
      </c>
      <c r="C1111" s="2" t="s">
        <v>573</v>
      </c>
      <c r="D1111" s="2" t="str">
        <f t="shared" si="16"/>
        <v>Error?</v>
      </c>
    </row>
    <row r="1112" spans="1:4" x14ac:dyDescent="0.2">
      <c r="A1112" s="5">
        <v>1051</v>
      </c>
      <c r="B1112" s="138">
        <f>'Expenditures 15-22'!K39</f>
        <v>271441</v>
      </c>
      <c r="C1112" s="2" t="s">
        <v>573</v>
      </c>
      <c r="D1112" s="2" t="str">
        <f t="shared" si="16"/>
        <v>Error?</v>
      </c>
    </row>
    <row r="1113" spans="1:4" x14ac:dyDescent="0.2">
      <c r="A1113" s="5">
        <v>1052</v>
      </c>
      <c r="B1113" s="138">
        <f>'Expenditures 15-22'!K40</f>
        <v>529183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1566132</v>
      </c>
      <c r="C1115" s="2" t="s">
        <v>573</v>
      </c>
      <c r="D1115" s="2" t="str">
        <f t="shared" si="16"/>
        <v>Error?</v>
      </c>
    </row>
    <row r="1116" spans="1:4" x14ac:dyDescent="0.2">
      <c r="A1116" s="5">
        <v>1055</v>
      </c>
      <c r="B1116" s="138">
        <f>'Expenditures 15-22'!K44</f>
        <v>65850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21535</v>
      </c>
      <c r="C1118" s="2" t="s">
        <v>573</v>
      </c>
      <c r="D1118" s="2" t="str">
        <f t="shared" si="16"/>
        <v>Error?</v>
      </c>
    </row>
    <row r="1119" spans="1:4" x14ac:dyDescent="0.2">
      <c r="A1119" s="5">
        <v>1058</v>
      </c>
      <c r="B1119" s="138">
        <f>'Expenditures 15-22'!K47</f>
        <v>87385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63216</v>
      </c>
      <c r="C1121" s="2" t="s">
        <v>573</v>
      </c>
      <c r="D1121" s="2" t="str">
        <f t="shared" si="16"/>
        <v>Error?</v>
      </c>
    </row>
    <row r="1122" spans="1:4" x14ac:dyDescent="0.2">
      <c r="A1122" s="5">
        <v>1061</v>
      </c>
      <c r="B1122" s="138">
        <f>'Expenditures 15-22'!K53</f>
        <v>697831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7397</v>
      </c>
      <c r="C1126" s="2" t="s">
        <v>573</v>
      </c>
      <c r="D1126" s="2" t="str">
        <f t="shared" si="16"/>
        <v>Error?</v>
      </c>
    </row>
    <row r="1127" spans="1:4" x14ac:dyDescent="0.2">
      <c r="A1127" s="5">
        <v>1066</v>
      </c>
      <c r="B1127" s="138">
        <f>'Expenditures 15-22'!K60</f>
        <v>2500</v>
      </c>
      <c r="C1127" s="2" t="s">
        <v>573</v>
      </c>
      <c r="D1127" s="2" t="str">
        <f t="shared" si="16"/>
        <v>Error?</v>
      </c>
    </row>
    <row r="1128" spans="1:4" x14ac:dyDescent="0.2">
      <c r="A1128" s="5">
        <v>1067</v>
      </c>
      <c r="B1128" s="138">
        <f>'Expenditures 15-22'!K61</f>
        <v>160471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38949</v>
      </c>
      <c r="C1131" s="2" t="s">
        <v>573</v>
      </c>
      <c r="D1131" s="2" t="str">
        <f t="shared" si="16"/>
        <v>Error?</v>
      </c>
    </row>
    <row r="1132" spans="1:4" x14ac:dyDescent="0.2">
      <c r="A1132" s="10">
        <v>1071</v>
      </c>
      <c r="D1132" s="2" t="str">
        <f t="shared" si="16"/>
        <v>OK</v>
      </c>
    </row>
    <row r="1133" spans="1:4" x14ac:dyDescent="0.2">
      <c r="A1133" s="5">
        <v>1072</v>
      </c>
      <c r="B1133" s="138">
        <f>'Expenditures 15-22'!K65</f>
        <v>209317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101105</v>
      </c>
      <c r="C1139" s="2" t="s">
        <v>573</v>
      </c>
      <c r="D1139" s="2" t="str">
        <f t="shared" si="16"/>
        <v>Error?</v>
      </c>
    </row>
    <row r="1140" spans="1:4" x14ac:dyDescent="0.2">
      <c r="A1140" s="10">
        <v>1079</v>
      </c>
      <c r="D1140" s="2" t="str">
        <f t="shared" si="16"/>
        <v>OK</v>
      </c>
    </row>
    <row r="1141" spans="1:4" x14ac:dyDescent="0.2">
      <c r="A1141" s="5">
        <v>1080</v>
      </c>
      <c r="B1141" s="138">
        <f>'Expenditures 15-22'!K72</f>
        <v>101105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2661770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4707985</v>
      </c>
      <c r="C1152" s="2" t="s">
        <v>573</v>
      </c>
      <c r="D1152" s="2" t="str">
        <f t="shared" si="17"/>
        <v>Error?</v>
      </c>
    </row>
    <row r="1153" spans="1:4" x14ac:dyDescent="0.2">
      <c r="A1153" s="5">
        <v>1092</v>
      </c>
      <c r="B1153" s="138">
        <f>'Expenditures 15-22'!K115</f>
        <v>348349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718537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1066886</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13193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44572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25665</v>
      </c>
      <c r="D2018" s="2" t="str">
        <f t="shared" si="30"/>
        <v>Error?</v>
      </c>
    </row>
    <row r="2019" spans="1:4" x14ac:dyDescent="0.2">
      <c r="A2019" s="5">
        <v>1958</v>
      </c>
      <c r="B2019" s="138">
        <f>'Cap Outlay Deprec 26'!D16</f>
        <v>25665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13193</v>
      </c>
      <c r="C2029" s="2" t="s">
        <v>573</v>
      </c>
      <c r="D2029" s="2" t="str">
        <f t="shared" si="30"/>
        <v>Error?</v>
      </c>
    </row>
    <row r="2030" spans="1:4" x14ac:dyDescent="0.2">
      <c r="A2030" s="5">
        <v>1969</v>
      </c>
      <c r="B2030" s="138">
        <f>'Cap Outlay Deprec 26'!F13</f>
        <v>25665</v>
      </c>
      <c r="C2030" s="2" t="s">
        <v>573</v>
      </c>
      <c r="D2030" s="2" t="str">
        <f t="shared" si="30"/>
        <v>Error?</v>
      </c>
    </row>
    <row r="2031" spans="1:4" x14ac:dyDescent="0.2">
      <c r="A2031" s="5">
        <v>1970</v>
      </c>
      <c r="B2031" s="138">
        <f>'Cap Outlay Deprec 26'!F16</f>
        <v>70237</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1319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11779</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1319</v>
      </c>
      <c r="D2041" s="2" t="str">
        <f t="shared" si="30"/>
        <v>Error?</v>
      </c>
    </row>
    <row r="2042" spans="1:4" x14ac:dyDescent="0.2">
      <c r="A2042" s="5">
        <v>1981</v>
      </c>
      <c r="B2042" s="138">
        <f>'Cap Outlay Deprec 26'!I13</f>
        <v>5133</v>
      </c>
      <c r="D2042" s="2" t="str">
        <f t="shared" si="30"/>
        <v>Error?</v>
      </c>
    </row>
    <row r="2043" spans="1:4" x14ac:dyDescent="0.2">
      <c r="A2043" s="5">
        <v>1982</v>
      </c>
      <c r="B2043" s="138">
        <f>'Cap Outlay Deprec 26'!I16</f>
        <v>16912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2638</v>
      </c>
      <c r="C2053" s="2" t="s">
        <v>573</v>
      </c>
      <c r="D2053" s="2" t="str">
        <f t="shared" si="31"/>
        <v>Error?</v>
      </c>
    </row>
    <row r="2054" spans="1:4" x14ac:dyDescent="0.2">
      <c r="A2054" s="5">
        <v>1993</v>
      </c>
      <c r="B2054" s="138">
        <f>'Cap Outlay Deprec 26'!K13</f>
        <v>5133</v>
      </c>
      <c r="C2054" s="2" t="s">
        <v>573</v>
      </c>
      <c r="D2054" s="2" t="str">
        <f t="shared" si="31"/>
        <v>Error?</v>
      </c>
    </row>
    <row r="2055" spans="1:4" x14ac:dyDescent="0.2">
      <c r="A2055" s="5">
        <v>1994</v>
      </c>
      <c r="B2055" s="138">
        <f>'Cap Outlay Deprec 26'!K16</f>
        <v>28691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10555</v>
      </c>
      <c r="C2059" s="2" t="s">
        <v>573</v>
      </c>
      <c r="D2059" s="2" t="str">
        <f t="shared" si="31"/>
        <v>Error?</v>
      </c>
    </row>
    <row r="2060" spans="1:4" x14ac:dyDescent="0.2">
      <c r="A2060" s="5">
        <v>1999</v>
      </c>
      <c r="B2060" s="138">
        <f>'Cap Outlay Deprec 26'!L13</f>
        <v>20532</v>
      </c>
      <c r="C2060" s="2" t="s">
        <v>573</v>
      </c>
      <c r="D2060" s="2" t="str">
        <f t="shared" si="31"/>
        <v>Error?</v>
      </c>
    </row>
    <row r="2061" spans="1:4" x14ac:dyDescent="0.2">
      <c r="A2061" s="5">
        <v>2000</v>
      </c>
      <c r="B2061" s="138">
        <f>'Cap Outlay Deprec 26'!L16</f>
        <v>41546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3925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3925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319614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2874500</v>
      </c>
      <c r="C2551" s="2" t="s">
        <v>573</v>
      </c>
      <c r="D2551" s="2" t="str">
        <f t="shared" si="38"/>
        <v>Error?</v>
      </c>
    </row>
    <row r="2552" spans="1:4" x14ac:dyDescent="0.2">
      <c r="A2552" s="10">
        <v>2491</v>
      </c>
      <c r="D2552" s="2" t="str">
        <f t="shared" si="38"/>
        <v>OK</v>
      </c>
    </row>
    <row r="2553" spans="1:4" x14ac:dyDescent="0.2">
      <c r="A2553" s="5">
        <v>2492</v>
      </c>
      <c r="B2553" s="138">
        <f>'Acct Summary 7-8'!C6</f>
        <v>533505</v>
      </c>
      <c r="C2553" s="2" t="s">
        <v>573</v>
      </c>
      <c r="D2553" s="2" t="str">
        <f t="shared" si="38"/>
        <v>Error?</v>
      </c>
    </row>
    <row r="2554" spans="1:4" x14ac:dyDescent="0.2">
      <c r="A2554" s="5">
        <v>2493</v>
      </c>
      <c r="B2554" s="138">
        <f>'Acct Summary 7-8'!C7</f>
        <v>1648329</v>
      </c>
      <c r="C2554" s="2" t="s">
        <v>573</v>
      </c>
      <c r="D2554" s="2" t="str">
        <f t="shared" si="38"/>
        <v>Error?</v>
      </c>
    </row>
    <row r="2555" spans="1:4" x14ac:dyDescent="0.2">
      <c r="A2555" s="5">
        <v>2494</v>
      </c>
      <c r="B2555" s="138">
        <f>'Acct Summary 7-8'!C8</f>
        <v>5056334</v>
      </c>
      <c r="C2555" s="2" t="s">
        <v>573</v>
      </c>
      <c r="D2555" s="2" t="str">
        <f t="shared" si="38"/>
        <v>Error?</v>
      </c>
    </row>
    <row r="2556" spans="1:4" x14ac:dyDescent="0.2">
      <c r="A2556" s="5">
        <v>2495</v>
      </c>
      <c r="B2556" s="138">
        <f>'Acct Summary 7-8'!C12</f>
        <v>2042290</v>
      </c>
      <c r="C2556" s="2" t="s">
        <v>573</v>
      </c>
      <c r="D2556" s="2" t="str">
        <f t="shared" si="38"/>
        <v>Error?</v>
      </c>
    </row>
    <row r="2557" spans="1:4" x14ac:dyDescent="0.2">
      <c r="A2557" s="5">
        <v>2496</v>
      </c>
      <c r="B2557" s="138">
        <f>'Acct Summary 7-8'!C13</f>
        <v>2661770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3925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4707985</v>
      </c>
      <c r="C2561" s="2" t="s">
        <v>573</v>
      </c>
      <c r="D2561" s="2" t="str">
        <f t="shared" si="39"/>
        <v>Error?</v>
      </c>
    </row>
    <row r="2562" spans="1:4" x14ac:dyDescent="0.2">
      <c r="A2562" s="5">
        <v>2501</v>
      </c>
      <c r="B2562" s="138">
        <f>'Acct Summary 7-8'!C20</f>
        <v>348349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387684</v>
      </c>
      <c r="D2718" s="2" t="str">
        <f t="shared" si="41"/>
        <v>Error?</v>
      </c>
    </row>
    <row r="2719" spans="1:4" x14ac:dyDescent="0.2">
      <c r="A2719" s="5">
        <v>2658</v>
      </c>
      <c r="B2719" s="138">
        <f>'Expenditures 15-22'!D51</f>
        <v>100274</v>
      </c>
      <c r="D2719" s="2" t="str">
        <f t="shared" si="41"/>
        <v>Error?</v>
      </c>
    </row>
    <row r="2720" spans="1:4" x14ac:dyDescent="0.2">
      <c r="A2720" s="5">
        <v>2659</v>
      </c>
      <c r="B2720" s="138">
        <f>'Expenditures 15-22'!E51</f>
        <v>23844</v>
      </c>
      <c r="D2720" s="2" t="str">
        <f t="shared" si="41"/>
        <v>Error?</v>
      </c>
    </row>
    <row r="2721" spans="1:4" x14ac:dyDescent="0.2">
      <c r="A2721" s="5">
        <v>2660</v>
      </c>
      <c r="B2721" s="138">
        <f>'Expenditures 15-22'!F51</f>
        <v>8712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532088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3925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3925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348349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1539335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352618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42574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82763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25000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2042290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1790141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3536843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8593177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3536843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8244828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1066886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68315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133197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65037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2838468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2838468</v>
      </c>
      <c r="C5087" s="2" t="s">
        <v>573</v>
      </c>
      <c r="D5087" s="2" t="str">
        <f t="shared" si="78"/>
        <v>Error?</v>
      </c>
    </row>
    <row r="5088" spans="1:4" x14ac:dyDescent="0.2">
      <c r="A5088" s="5">
        <v>5027</v>
      </c>
      <c r="B5088" s="138">
        <f>'Revenues 9-14'!C65</f>
        <v>4068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4068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31964</v>
      </c>
      <c r="D5119" s="2" t="str">
        <f t="shared" ref="D5119:D5182" si="79">IF(ISBLANK(B5119),"OK",IF(A5119-B5119=0,"OK","Error?"))</f>
        <v>Error?</v>
      </c>
    </row>
    <row r="5120" spans="1:4" x14ac:dyDescent="0.2">
      <c r="A5120" s="5">
        <v>5059</v>
      </c>
      <c r="B5120" s="138">
        <f>'Revenues 9-14'!C108</f>
        <v>31964</v>
      </c>
      <c r="C5120" s="2" t="s">
        <v>573</v>
      </c>
      <c r="D5120" s="2" t="str">
        <f t="shared" si="79"/>
        <v>Error?</v>
      </c>
    </row>
    <row r="5121" spans="1:4" x14ac:dyDescent="0.2">
      <c r="A5121" s="5">
        <v>5060</v>
      </c>
      <c r="B5121" s="138">
        <f>'Revenues 9-14'!C109</f>
        <v>2874500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468468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468468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65037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533505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38137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1408680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1446817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1648329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1648329</v>
      </c>
      <c r="C5326" s="2" t="s">
        <v>573</v>
      </c>
      <c r="D5326" s="2" t="str">
        <f t="shared" si="82"/>
        <v>Error?</v>
      </c>
    </row>
    <row r="5327" spans="1:5" x14ac:dyDescent="0.2">
      <c r="A5327" s="5">
        <v>5266</v>
      </c>
      <c r="B5327" s="138">
        <f>'Revenues 9-14'!C268</f>
        <v>5056334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644808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344606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518679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348349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0.32651004887120089</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974</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11574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102527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102527</v>
      </c>
      <c r="D6940" s="2" t="str">
        <f t="shared" si="107"/>
        <v>Error?</v>
      </c>
    </row>
    <row r="6941" spans="1:4" x14ac:dyDescent="0.2">
      <c r="A6941">
        <v>6880</v>
      </c>
      <c r="B6941" s="138">
        <f>'Expenditures 15-22'!L52</f>
        <v>193304</v>
      </c>
      <c r="D6941" s="2" t="str">
        <f t="shared" si="107"/>
        <v>Error?</v>
      </c>
    </row>
    <row r="6942" spans="1:4" x14ac:dyDescent="0.2">
      <c r="A6942">
        <v>6881</v>
      </c>
      <c r="B6942" s="138">
        <f>'Expenditures 15-22'!I53</f>
        <v>12548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704</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4553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4300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4300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21401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21401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31379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31379</v>
      </c>
      <c r="D7618" s="2" t="str">
        <f t="shared" si="124"/>
        <v>Error?</v>
      </c>
      <c r="E7618" s="2" t="s">
        <v>19</v>
      </c>
    </row>
    <row r="7619" spans="1:5" x14ac:dyDescent="0.2">
      <c r="A7619">
        <f t="shared" si="123"/>
        <v>7558</v>
      </c>
      <c r="B7619" s="138">
        <f>'Cap Outlay Deprec 26'!H14</f>
        <v>10460</v>
      </c>
      <c r="D7619" s="2" t="str">
        <f t="shared" si="124"/>
        <v>Error?</v>
      </c>
      <c r="E7619" s="2" t="s">
        <v>19</v>
      </c>
    </row>
    <row r="7620" spans="1:5" x14ac:dyDescent="0.2">
      <c r="A7620">
        <f t="shared" si="123"/>
        <v>7559</v>
      </c>
      <c r="B7620" s="138">
        <f>'Cap Outlay Deprec 26'!I14</f>
        <v>10460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20920</v>
      </c>
      <c r="D7622" s="2" t="str">
        <f t="shared" si="124"/>
        <v>Error?</v>
      </c>
      <c r="E7622" s="2" t="s">
        <v>19</v>
      </c>
    </row>
    <row r="7623" spans="1:5" x14ac:dyDescent="0.2">
      <c r="A7623">
        <f t="shared" si="123"/>
        <v>7562</v>
      </c>
      <c r="B7623" s="138">
        <f>'Cap Outlay Deprec 26'!L14</f>
        <v>10459</v>
      </c>
      <c r="D7623" s="2" t="str">
        <f t="shared" si="124"/>
        <v>Error?</v>
      </c>
      <c r="E7623" s="2" t="s">
        <v>19</v>
      </c>
    </row>
    <row r="7624" spans="1:5" x14ac:dyDescent="0.2">
      <c r="A7624">
        <f t="shared" si="123"/>
        <v>7563</v>
      </c>
      <c r="B7624" s="138">
        <f>'Cap Outlay Deprec 26'!F17</f>
        <v>21401</v>
      </c>
      <c r="D7624" s="2" t="str">
        <f t="shared" si="124"/>
        <v>Error?</v>
      </c>
      <c r="E7624" s="2" t="s">
        <v>19</v>
      </c>
    </row>
    <row r="7625" spans="1:5" x14ac:dyDescent="0.2">
      <c r="A7625">
        <f t="shared" si="123"/>
        <v>7564</v>
      </c>
      <c r="B7625" s="138">
        <f>'Cap Outlay Deprec 26'!I17</f>
        <v>2140.1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19052.099999999999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3849</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1</v>
      </c>
      <c r="D7797" s="2" t="str">
        <f t="shared" si="127"/>
        <v>Error?</v>
      </c>
      <c r="E7797" s="4" t="s">
        <v>1902</v>
      </c>
    </row>
    <row r="7798" spans="1:5" x14ac:dyDescent="0.2">
      <c r="A7798">
        <v>7737</v>
      </c>
      <c r="B7798" s="138">
        <f>'Contracts Paid in CY 29'!F142</f>
        <v>1</v>
      </c>
      <c r="D7798" s="2" t="str">
        <f t="shared" si="127"/>
        <v>Error?</v>
      </c>
      <c r="E7798" s="4" t="s">
        <v>1902</v>
      </c>
    </row>
    <row r="7799" spans="1:5" x14ac:dyDescent="0.2">
      <c r="A7799">
        <v>7738</v>
      </c>
      <c r="B7799" s="138">
        <f>'Contracts Paid in CY 29'!G142</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C23" sqref="C2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1986</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Knox Warren Spec Ed Districts</v>
      </c>
      <c r="B7" s="2403"/>
      <c r="C7" s="2403"/>
      <c r="D7" s="2440"/>
      <c r="E7" s="2441">
        <f>COVER!A13</f>
        <v>33048801060</v>
      </c>
      <c r="F7" s="2442"/>
      <c r="G7" s="2409" t="str">
        <f>COVER!T23</f>
        <v>066-004769</v>
      </c>
      <c r="H7" s="2410"/>
      <c r="I7" s="2410"/>
      <c r="J7" s="2410"/>
      <c r="K7" s="2410"/>
      <c r="L7" s="241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2"/>
      <c r="B9" s="2413"/>
      <c r="C9" s="2413"/>
      <c r="D9" s="2413"/>
      <c r="E9" s="2413"/>
      <c r="F9" s="2414"/>
      <c r="G9" s="2415" t="str">
        <f>COVER!T13</f>
        <v>Meister, Hilton, Chitwood &amp; Associates, Inc.</v>
      </c>
      <c r="H9" s="2416"/>
      <c r="I9" s="2416"/>
      <c r="J9" s="2416"/>
      <c r="K9" s="2416"/>
      <c r="L9" s="2417"/>
    </row>
    <row r="10" spans="1:29" ht="13.5" customHeight="1" x14ac:dyDescent="0.2">
      <c r="A10" s="2399" t="str">
        <f>COVER!A38</f>
        <v>Zach Crowl</v>
      </c>
      <c r="B10" s="2400"/>
      <c r="C10" s="2400"/>
      <c r="D10" s="2400"/>
      <c r="E10" s="2400"/>
      <c r="F10" s="2401"/>
      <c r="G10" s="2415" t="str">
        <f>COVER!T17</f>
        <v>809 W. Detweiller Drive, Suite 806</v>
      </c>
      <c r="H10" s="2428"/>
      <c r="I10" s="2428"/>
      <c r="J10" s="2428"/>
      <c r="K10" s="2428"/>
      <c r="L10" s="2429"/>
    </row>
    <row r="11" spans="1:29" ht="13.5" customHeight="1" x14ac:dyDescent="0.2">
      <c r="A11" s="1184" t="s">
        <v>1519</v>
      </c>
      <c r="B11" s="1185"/>
      <c r="C11" s="1186"/>
      <c r="D11" s="1191"/>
      <c r="E11" s="1186"/>
      <c r="F11" s="1190"/>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ron.hilton1@comcast.net</v>
      </c>
      <c r="J13" s="2437"/>
      <c r="K13" s="2437"/>
      <c r="L13" s="2438"/>
    </row>
    <row r="14" spans="1:29" ht="13.5" customHeight="1" x14ac:dyDescent="0.2">
      <c r="A14" s="2415" t="str">
        <f>COVER!A19</f>
        <v>311 East Main Street, Suite 632</v>
      </c>
      <c r="B14" s="2428"/>
      <c r="C14" s="2428"/>
      <c r="D14" s="2428"/>
      <c r="E14" s="2428"/>
      <c r="F14" s="2429"/>
      <c r="G14" s="1195" t="s">
        <v>1185</v>
      </c>
      <c r="H14" s="1193"/>
      <c r="I14" s="1193"/>
      <c r="J14" s="1193"/>
      <c r="K14" s="1193"/>
      <c r="L14" s="1194"/>
    </row>
    <row r="15" spans="1:29" ht="13.5" customHeight="1" x14ac:dyDescent="0.2">
      <c r="A15" s="2415" t="str">
        <f>COVER!A21</f>
        <v>Galesburg</v>
      </c>
      <c r="B15" s="2428"/>
      <c r="C15" s="2428"/>
      <c r="D15" s="2428"/>
      <c r="E15" s="2428"/>
      <c r="F15" s="2429"/>
      <c r="G15" s="2425" t="str">
        <f>COVER!T15</f>
        <v>Ron Hilton</v>
      </c>
      <c r="H15" s="2426"/>
      <c r="I15" s="2426"/>
      <c r="J15" s="2426"/>
      <c r="K15" s="2426"/>
      <c r="L15" s="2427"/>
    </row>
    <row r="16" spans="1:29" ht="12.2" customHeight="1" x14ac:dyDescent="0.2">
      <c r="A16" s="2405">
        <f>COVER!A25</f>
        <v>61401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5" t="s">
        <v>1184</v>
      </c>
      <c r="H17" s="1193"/>
      <c r="I17" s="1193"/>
      <c r="J17" s="1193"/>
      <c r="K17" s="1197" t="s">
        <v>1183</v>
      </c>
      <c r="L17" s="1190"/>
      <c r="M17" s="1183"/>
    </row>
    <row r="18" spans="1:13" ht="12.2" customHeight="1" x14ac:dyDescent="0.2">
      <c r="A18" s="2399"/>
      <c r="B18" s="2400"/>
      <c r="C18" s="2400"/>
      <c r="D18" s="2400"/>
      <c r="E18" s="2400"/>
      <c r="F18" s="2401"/>
      <c r="G18" s="2402" t="str">
        <f>COVER!T21</f>
        <v>(309) 683-0441</v>
      </c>
      <c r="H18" s="2403"/>
      <c r="I18" s="2403"/>
      <c r="J18" s="2403"/>
      <c r="K18" s="2402" t="str">
        <f>COVER!X21</f>
        <v>(309) 692-0492</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35&amp;R&amp;8Page 35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3" t="str">
        <f>'Single Audit Cover'!A7</f>
        <v>Knox Warren Spec Ed Districts</v>
      </c>
      <c r="B1" s="2439"/>
      <c r="C1" s="2439"/>
      <c r="D1" s="2439"/>
    </row>
    <row r="2" spans="1:11" s="1212" customFormat="1" ht="12.75" x14ac:dyDescent="0.2">
      <c r="A2" s="2444">
        <f>'Single Audit Cover'!E7</f>
        <v>33048801060</v>
      </c>
      <c r="B2" s="2445"/>
      <c r="C2" s="2445"/>
      <c r="D2" s="2445"/>
    </row>
    <row r="3" spans="1:11" s="1212" customFormat="1" ht="12.75" x14ac:dyDescent="0.2">
      <c r="A3" s="2443" t="s">
        <v>1513</v>
      </c>
      <c r="B3" s="2439"/>
      <c r="C3" s="2439"/>
      <c r="D3" s="243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7" t="str">
        <f>'Single Audit Cover'!A7</f>
        <v>Knox Warren Spec Ed Districts</v>
      </c>
      <c r="B1" s="2447"/>
      <c r="C1" s="2447"/>
      <c r="D1" s="2447"/>
      <c r="E1" s="2447"/>
    </row>
    <row r="2" spans="1:5" x14ac:dyDescent="0.2">
      <c r="A2" s="2448">
        <f>'Single Audit Cover'!E7</f>
        <v>33048801060</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7" t="s">
        <v>1243</v>
      </c>
    </row>
    <row r="10" spans="1:5" x14ac:dyDescent="0.2">
      <c r="A10" s="1258" t="s">
        <v>1242</v>
      </c>
      <c r="B10" s="1259" t="s">
        <v>1241</v>
      </c>
      <c r="C10" s="1259"/>
      <c r="D10" s="1260">
        <f>SUM('Acct Summary 7-8'!C7:K7)</f>
        <v>1648329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-133197</v>
      </c>
    </row>
    <row r="19" spans="1:4" ht="13.5" thickBot="1" x14ac:dyDescent="0.25">
      <c r="A19" s="1262" t="s">
        <v>1235</v>
      </c>
      <c r="D19" s="1263">
        <f>SUM(D10:D17)</f>
        <v>1515132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9"/>
      <c r="B24" s="2449"/>
      <c r="D24" s="1265"/>
    </row>
    <row r="25" spans="1:4" x14ac:dyDescent="0.2">
      <c r="A25" s="2446"/>
      <c r="B25" s="2446"/>
      <c r="D25" s="1265"/>
    </row>
    <row r="26" spans="1:4" x14ac:dyDescent="0.2">
      <c r="A26" s="2446"/>
      <c r="B26" s="2446"/>
      <c r="D26" s="1265"/>
    </row>
    <row r="27" spans="1:4" x14ac:dyDescent="0.2">
      <c r="A27" s="2446"/>
      <c r="B27" s="2446"/>
      <c r="D27" s="1265"/>
    </row>
    <row r="28" spans="1:4" x14ac:dyDescent="0.2">
      <c r="A28" s="2446"/>
      <c r="B28" s="2446"/>
      <c r="D28" s="1265"/>
    </row>
    <row r="29" spans="1:4" x14ac:dyDescent="0.2">
      <c r="A29" s="2446"/>
      <c r="B29" s="2446"/>
      <c r="D29" s="1265"/>
    </row>
    <row r="30" spans="1:4" x14ac:dyDescent="0.2">
      <c r="A30" s="2446"/>
      <c r="B30" s="2446"/>
      <c r="D30" s="1265"/>
    </row>
    <row r="32" spans="1:4" x14ac:dyDescent="0.2">
      <c r="A32" s="1257" t="s">
        <v>1233</v>
      </c>
      <c r="D32" s="1260">
        <f>SUM(D19:D30)</f>
        <v>1515132</v>
      </c>
    </row>
    <row r="33" spans="1:4" x14ac:dyDescent="0.2">
      <c r="D33" s="1266"/>
    </row>
    <row r="34" spans="1:4" x14ac:dyDescent="0.2">
      <c r="A34" s="317" t="s">
        <v>1232</v>
      </c>
    </row>
    <row r="35" spans="1:4" x14ac:dyDescent="0.2">
      <c r="A35" s="317" t="s">
        <v>1231</v>
      </c>
      <c r="B35" s="1255" t="s">
        <v>1230</v>
      </c>
      <c r="D35" s="1267">
        <v>1515132</v>
      </c>
    </row>
    <row r="37" spans="1:4" x14ac:dyDescent="0.2">
      <c r="A37" s="1257" t="s">
        <v>1229</v>
      </c>
    </row>
    <row r="39" spans="1:4" ht="13.35" customHeight="1" x14ac:dyDescent="0.2">
      <c r="A39" s="1264" t="s">
        <v>1228</v>
      </c>
    </row>
    <row r="40" spans="1:4" x14ac:dyDescent="0.2">
      <c r="A40" s="2446"/>
      <c r="B40" s="2446"/>
      <c r="D40" s="1265"/>
    </row>
    <row r="41" spans="1:4" x14ac:dyDescent="0.2">
      <c r="A41" s="2446"/>
      <c r="B41" s="2446"/>
      <c r="D41" s="1268"/>
    </row>
    <row r="42" spans="1:4" x14ac:dyDescent="0.2">
      <c r="A42" s="2446"/>
      <c r="B42" s="2446"/>
      <c r="D42" s="1268"/>
    </row>
    <row r="43" spans="1:4" x14ac:dyDescent="0.2">
      <c r="A43" s="2446"/>
      <c r="B43" s="2446"/>
      <c r="D43" s="1268"/>
    </row>
    <row r="44" spans="1:4" x14ac:dyDescent="0.2">
      <c r="A44" s="2446"/>
      <c r="B44" s="2446"/>
      <c r="D44" s="1268"/>
    </row>
    <row r="45" spans="1:4" x14ac:dyDescent="0.2">
      <c r="A45" s="2446"/>
      <c r="B45" s="2446"/>
      <c r="D45" s="1268"/>
    </row>
    <row r="47" spans="1:4" x14ac:dyDescent="0.2">
      <c r="B47" s="1269" t="s">
        <v>1227</v>
      </c>
      <c r="C47" s="1269"/>
      <c r="D47" s="1270">
        <f>SUM(D35:D45)</f>
        <v>1515132</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B25" sqref="B2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Knox Warren Spec Ed Districts</v>
      </c>
      <c r="C1" s="2451"/>
      <c r="D1" s="2451"/>
      <c r="E1" s="2451"/>
      <c r="F1" s="2451"/>
      <c r="G1" s="2451"/>
      <c r="H1" s="2451"/>
      <c r="I1" s="2451"/>
      <c r="J1" s="2451"/>
      <c r="K1" s="2451"/>
      <c r="L1" s="2451"/>
      <c r="M1" s="2451"/>
    </row>
    <row r="2" spans="2:14" ht="15" x14ac:dyDescent="0.2">
      <c r="B2" s="2452">
        <f>'Single Audit Cover'!E7</f>
        <v>33048801060</v>
      </c>
      <c r="C2" s="2452"/>
      <c r="D2" s="2452"/>
      <c r="E2" s="2452"/>
      <c r="F2" s="2452"/>
      <c r="G2" s="2452"/>
      <c r="H2" s="2452"/>
      <c r="I2" s="2452"/>
      <c r="J2" s="2452"/>
      <c r="K2" s="2452"/>
      <c r="L2" s="2452"/>
      <c r="M2" s="2452"/>
      <c r="N2" s="1299"/>
    </row>
    <row r="3" spans="2:14" ht="15" x14ac:dyDescent="0.2">
      <c r="B3" s="2453" t="s">
        <v>1219</v>
      </c>
      <c r="C3" s="2453"/>
      <c r="D3" s="2453"/>
      <c r="E3" s="2453"/>
      <c r="F3" s="2453"/>
      <c r="G3" s="2453"/>
      <c r="H3" s="2453"/>
      <c r="I3" s="2453"/>
      <c r="J3" s="2453"/>
      <c r="K3" s="2453"/>
      <c r="L3" s="2453"/>
      <c r="M3" s="2453"/>
      <c r="N3" s="1299"/>
    </row>
    <row r="4" spans="2:14" ht="15" x14ac:dyDescent="0.2">
      <c r="B4" s="2454" t="str">
        <f>'Single Audit Cover'!A4</f>
        <v>Year Ending June 30, 2019</v>
      </c>
      <c r="C4" s="2454"/>
      <c r="D4" s="2454"/>
      <c r="E4" s="2454"/>
      <c r="F4" s="2454"/>
      <c r="G4" s="2454"/>
      <c r="H4" s="2454"/>
      <c r="I4" s="2454"/>
      <c r="J4" s="2454"/>
      <c r="K4" s="2454"/>
      <c r="L4" s="2454"/>
      <c r="M4" s="2454"/>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1734</v>
      </c>
      <c r="D9" s="1311" t="s">
        <v>1735</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0" t="s">
        <v>2084</v>
      </c>
      <c r="C11" s="1941"/>
      <c r="D11" s="1942"/>
      <c r="E11" s="1943"/>
      <c r="F11" s="1943"/>
      <c r="G11" s="1943"/>
      <c r="H11" s="1943"/>
      <c r="I11" s="1943"/>
      <c r="J11" s="1943"/>
      <c r="K11" s="1943"/>
      <c r="L11" s="1944"/>
      <c r="M11" s="1944"/>
    </row>
    <row r="12" spans="2:14" ht="21" customHeight="1" x14ac:dyDescent="0.2">
      <c r="B12" s="1950" t="s">
        <v>2085</v>
      </c>
      <c r="C12" s="1945"/>
      <c r="D12" s="1946"/>
      <c r="E12" s="1947"/>
      <c r="F12" s="1947"/>
      <c r="G12" s="1947"/>
      <c r="H12" s="1947"/>
      <c r="I12" s="1943"/>
      <c r="J12" s="1947"/>
      <c r="K12" s="1947"/>
      <c r="L12" s="1944"/>
      <c r="M12" s="1948"/>
    </row>
    <row r="13" spans="2:14" ht="20.100000000000001" customHeight="1" x14ac:dyDescent="0.2">
      <c r="B13" s="1951" t="s">
        <v>2086</v>
      </c>
      <c r="C13" s="1945"/>
      <c r="D13" s="1945"/>
      <c r="E13" s="1947"/>
      <c r="F13" s="1947"/>
      <c r="G13" s="1947"/>
      <c r="H13" s="1947"/>
      <c r="I13" s="1947"/>
      <c r="J13" s="1947"/>
      <c r="K13" s="1947"/>
      <c r="L13" s="1944"/>
      <c r="M13" s="1948"/>
    </row>
    <row r="14" spans="2:14" ht="20.100000000000001" customHeight="1" x14ac:dyDescent="0.2">
      <c r="B14" s="1951" t="s">
        <v>2095</v>
      </c>
      <c r="C14" s="1945">
        <v>84.173000000000002</v>
      </c>
      <c r="D14" s="1946" t="s">
        <v>2087</v>
      </c>
      <c r="E14" s="1947">
        <v>18778</v>
      </c>
      <c r="F14" s="1947">
        <v>0</v>
      </c>
      <c r="G14" s="1947">
        <v>18778</v>
      </c>
      <c r="H14" s="1947">
        <v>0</v>
      </c>
      <c r="I14" s="1943">
        <v>0</v>
      </c>
      <c r="J14" s="1943">
        <v>0</v>
      </c>
      <c r="K14" s="1947">
        <v>0</v>
      </c>
      <c r="L14" s="1944">
        <f>+G14+I14+K14</f>
        <v>18778</v>
      </c>
      <c r="M14" s="1948">
        <v>52000</v>
      </c>
    </row>
    <row r="15" spans="2:14" ht="20.100000000000001" customHeight="1" x14ac:dyDescent="0.2">
      <c r="B15" s="1952" t="s">
        <v>1169</v>
      </c>
      <c r="C15" s="1945"/>
      <c r="D15" s="1946" t="s">
        <v>2094</v>
      </c>
      <c r="E15" s="1947">
        <v>0</v>
      </c>
      <c r="F15" s="1949">
        <v>38137</v>
      </c>
      <c r="G15" s="1947">
        <v>0</v>
      </c>
      <c r="H15" s="1947">
        <v>0</v>
      </c>
      <c r="I15" s="1949">
        <v>38137</v>
      </c>
      <c r="J15" s="1949">
        <v>0</v>
      </c>
      <c r="K15" s="1947">
        <v>36551</v>
      </c>
      <c r="L15" s="1944">
        <f t="shared" ref="L15:L19" si="0">+G15+I15+K15</f>
        <v>74688</v>
      </c>
      <c r="M15" s="1948">
        <v>85081</v>
      </c>
    </row>
    <row r="16" spans="2:14" ht="20.100000000000001" customHeight="1" x14ac:dyDescent="0.2">
      <c r="B16" s="1952"/>
      <c r="C16" s="1945"/>
      <c r="D16" s="1946"/>
      <c r="E16" s="1947"/>
      <c r="F16" s="1943">
        <f>SUM(F14:F15)</f>
        <v>38137</v>
      </c>
      <c r="G16" s="1947"/>
      <c r="H16" s="1947"/>
      <c r="I16" s="1943">
        <f>SUM(I14:I15)</f>
        <v>38137</v>
      </c>
      <c r="J16" s="1943">
        <f>SUM(J14:J15)</f>
        <v>0</v>
      </c>
      <c r="K16" s="1947"/>
      <c r="L16" s="1944"/>
      <c r="M16" s="1948"/>
    </row>
    <row r="17" spans="2:14" ht="20.100000000000001" customHeight="1" x14ac:dyDescent="0.2">
      <c r="B17" s="1952"/>
      <c r="C17" s="1945"/>
      <c r="D17" s="1946"/>
      <c r="E17" s="1947"/>
      <c r="F17" s="1947"/>
      <c r="G17" s="1947"/>
      <c r="H17" s="1947"/>
      <c r="I17" s="1947"/>
      <c r="J17" s="1947"/>
      <c r="K17" s="1947"/>
      <c r="L17" s="1944">
        <f t="shared" si="0"/>
        <v>0</v>
      </c>
      <c r="M17" s="1948"/>
    </row>
    <row r="18" spans="2:14" ht="20.100000000000001" customHeight="1" x14ac:dyDescent="0.2">
      <c r="B18" s="1951" t="s">
        <v>2096</v>
      </c>
      <c r="C18" s="1945">
        <v>84.027000000000001</v>
      </c>
      <c r="D18" s="1946" t="s">
        <v>2088</v>
      </c>
      <c r="E18" s="1948">
        <v>1324847</v>
      </c>
      <c r="F18" s="1947">
        <v>799</v>
      </c>
      <c r="G18" s="1948">
        <v>1324847</v>
      </c>
      <c r="H18" s="1947">
        <v>0</v>
      </c>
      <c r="I18" s="1944">
        <v>799</v>
      </c>
      <c r="J18" s="1947">
        <v>0</v>
      </c>
      <c r="K18" s="1948">
        <v>0</v>
      </c>
      <c r="L18" s="1944">
        <f t="shared" si="0"/>
        <v>1325646</v>
      </c>
      <c r="M18" s="1948">
        <v>1739433</v>
      </c>
    </row>
    <row r="19" spans="2:14" ht="20.100000000000001" customHeight="1" x14ac:dyDescent="0.2">
      <c r="B19" s="1952"/>
      <c r="C19" s="1945"/>
      <c r="D19" s="1946" t="s">
        <v>2097</v>
      </c>
      <c r="E19" s="1947">
        <v>0</v>
      </c>
      <c r="F19" s="1949">
        <v>1407881</v>
      </c>
      <c r="G19" s="1947">
        <v>0</v>
      </c>
      <c r="H19" s="1947">
        <v>0</v>
      </c>
      <c r="I19" s="1949">
        <v>1407881</v>
      </c>
      <c r="J19" s="1949">
        <v>0</v>
      </c>
      <c r="K19" s="1947">
        <v>151344</v>
      </c>
      <c r="L19" s="1944">
        <f t="shared" si="0"/>
        <v>1559225</v>
      </c>
      <c r="M19" s="1948">
        <v>1741432</v>
      </c>
    </row>
    <row r="20" spans="2:14" ht="20.100000000000001" customHeight="1" x14ac:dyDescent="0.2">
      <c r="B20" s="1952"/>
      <c r="C20" s="1945"/>
      <c r="D20" s="1946"/>
      <c r="E20" s="1947"/>
      <c r="F20" s="1953">
        <f>SUM(F18:F19)</f>
        <v>1408680</v>
      </c>
      <c r="G20" s="1947"/>
      <c r="H20" s="1947"/>
      <c r="I20" s="1953">
        <f>SUM(I18:I19)</f>
        <v>1408680</v>
      </c>
      <c r="J20" s="1953">
        <f>SUM(J18:J19)</f>
        <v>0</v>
      </c>
      <c r="K20" s="1947"/>
      <c r="L20" s="1944"/>
      <c r="M20" s="1948"/>
    </row>
    <row r="21" spans="2:14" ht="20.100000000000001" customHeight="1" x14ac:dyDescent="0.2">
      <c r="B21" s="1952"/>
      <c r="C21" s="1945"/>
      <c r="D21" s="1946"/>
      <c r="E21" s="1947"/>
      <c r="F21" s="1943"/>
      <c r="G21" s="1947"/>
      <c r="H21" s="1947"/>
      <c r="I21" s="1943"/>
      <c r="J21" s="1943"/>
      <c r="K21" s="1947"/>
      <c r="L21" s="1944"/>
      <c r="M21" s="1948"/>
    </row>
    <row r="22" spans="2:14" ht="21" customHeight="1" x14ac:dyDescent="0.2">
      <c r="B22" s="1952" t="s">
        <v>2098</v>
      </c>
      <c r="C22" s="1945"/>
      <c r="D22" s="1946"/>
      <c r="E22" s="1947"/>
      <c r="F22" s="1949">
        <f>F16+F20</f>
        <v>1446817</v>
      </c>
      <c r="G22" s="1947"/>
      <c r="H22" s="1947"/>
      <c r="I22" s="1949">
        <f>I16+I20</f>
        <v>1446817</v>
      </c>
      <c r="J22" s="1949">
        <f>J16+J20</f>
        <v>0</v>
      </c>
      <c r="K22" s="1947"/>
      <c r="L22" s="1944"/>
      <c r="M22" s="1948"/>
    </row>
    <row r="23" spans="2:14" ht="20.100000000000001" customHeight="1" x14ac:dyDescent="0.2">
      <c r="B23" s="1952"/>
      <c r="C23" s="1945"/>
      <c r="D23" s="1946"/>
      <c r="E23" s="1947"/>
      <c r="F23" s="1943"/>
      <c r="G23" s="1947"/>
      <c r="H23" s="1947"/>
      <c r="I23" s="1943"/>
      <c r="J23" s="1943"/>
      <c r="K23" s="1947"/>
      <c r="L23" s="1944"/>
      <c r="M23" s="1948"/>
    </row>
    <row r="24" spans="2:14" ht="21" customHeight="1" x14ac:dyDescent="0.2">
      <c r="B24" s="1952"/>
      <c r="C24" s="1945"/>
      <c r="D24" s="1946"/>
      <c r="E24" s="1947"/>
      <c r="F24" s="1947"/>
      <c r="G24" s="1947"/>
      <c r="H24" s="1947"/>
      <c r="I24" s="1947"/>
      <c r="J24" s="1947"/>
      <c r="K24" s="1947"/>
      <c r="L24" s="1944"/>
      <c r="M24" s="1948"/>
    </row>
    <row r="25" spans="2:14" ht="20.100000000000001" customHeight="1" x14ac:dyDescent="0.2">
      <c r="B25" s="1952"/>
      <c r="C25" s="1945"/>
      <c r="D25" s="1946"/>
      <c r="E25" s="1947"/>
      <c r="F25" s="1947"/>
      <c r="G25" s="1947"/>
      <c r="H25" s="1947"/>
      <c r="I25" s="1947"/>
      <c r="J25" s="1947"/>
      <c r="K25" s="1947"/>
      <c r="L25" s="1944"/>
      <c r="M25" s="1948"/>
    </row>
    <row r="26" spans="2:14" ht="20.100000000000001" customHeight="1" x14ac:dyDescent="0.2">
      <c r="B26" s="1334"/>
      <c r="C26" s="1945"/>
      <c r="D26" s="1946"/>
      <c r="E26" s="1947"/>
      <c r="F26" s="1947"/>
      <c r="G26" s="1947"/>
      <c r="H26" s="1947"/>
      <c r="I26" s="1947"/>
      <c r="J26" s="1947"/>
      <c r="K26" s="1947"/>
      <c r="L26" s="1944"/>
      <c r="M26" s="1948"/>
    </row>
    <row r="27" spans="2:14" ht="20.100000000000001" customHeight="1" x14ac:dyDescent="0.2">
      <c r="B27" s="1334"/>
      <c r="C27" s="1945"/>
      <c r="D27" s="1946"/>
      <c r="E27" s="1947"/>
      <c r="F27" s="1947"/>
      <c r="G27" s="1947"/>
      <c r="H27" s="1947"/>
      <c r="I27" s="1947"/>
      <c r="J27" s="1947"/>
      <c r="K27" s="1947"/>
      <c r="L27" s="1944"/>
      <c r="M27" s="194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1736</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1839</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7" t="s">
        <v>1585</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1739</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1740</v>
      </c>
      <c r="C45" s="1363"/>
      <c r="D45" s="1364"/>
      <c r="E45" s="1297"/>
      <c r="F45" s="1297"/>
      <c r="G45" s="1297"/>
      <c r="H45" s="1297"/>
      <c r="I45" s="1297"/>
      <c r="J45" s="1297"/>
      <c r="K45" s="1365"/>
      <c r="L45" s="1365"/>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42&amp;R&amp;8Page 42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H16" sqref="H16"/>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Knox Warren Spec Ed Districts</v>
      </c>
      <c r="C1" s="2451"/>
      <c r="D1" s="2451"/>
      <c r="E1" s="2451"/>
      <c r="F1" s="2451"/>
      <c r="G1" s="2451"/>
      <c r="H1" s="2451"/>
      <c r="I1" s="2451"/>
      <c r="J1" s="2451"/>
      <c r="K1" s="2451"/>
      <c r="L1" s="2451"/>
      <c r="M1" s="2451"/>
    </row>
    <row r="2" spans="2:14" ht="15" x14ac:dyDescent="0.2">
      <c r="B2" s="2452">
        <f>'Single Audit Cover'!E7</f>
        <v>33048801060</v>
      </c>
      <c r="C2" s="2452"/>
      <c r="D2" s="2452"/>
      <c r="E2" s="2452"/>
      <c r="F2" s="2452"/>
      <c r="G2" s="2452"/>
      <c r="H2" s="2452"/>
      <c r="I2" s="2452"/>
      <c r="J2" s="2452"/>
      <c r="K2" s="2452"/>
      <c r="L2" s="2452"/>
      <c r="M2" s="2452"/>
      <c r="N2" s="1299"/>
    </row>
    <row r="3" spans="2:14" ht="15" x14ac:dyDescent="0.2">
      <c r="B3" s="2453" t="s">
        <v>1219</v>
      </c>
      <c r="C3" s="2453"/>
      <c r="D3" s="2453"/>
      <c r="E3" s="2453"/>
      <c r="F3" s="2453"/>
      <c r="G3" s="2453"/>
      <c r="H3" s="2453"/>
      <c r="I3" s="2453"/>
      <c r="J3" s="2453"/>
      <c r="K3" s="2453"/>
      <c r="L3" s="2453"/>
      <c r="M3" s="2453"/>
      <c r="N3" s="1299"/>
    </row>
    <row r="4" spans="2:14" ht="15" x14ac:dyDescent="0.2">
      <c r="B4" s="2454" t="str">
        <f>'Single Audit Cover'!A4</f>
        <v>Year Ending June 30, 2019</v>
      </c>
      <c r="C4" s="2454"/>
      <c r="D4" s="2454"/>
      <c r="E4" s="2454"/>
      <c r="F4" s="2454"/>
      <c r="G4" s="2454"/>
      <c r="H4" s="2454"/>
      <c r="I4" s="2454"/>
      <c r="J4" s="2454"/>
      <c r="K4" s="2454"/>
      <c r="L4" s="2454"/>
      <c r="M4" s="2454"/>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1734</v>
      </c>
      <c r="D9" s="1311" t="s">
        <v>1735</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8" t="s">
        <v>2089</v>
      </c>
      <c r="C11" s="1336"/>
      <c r="D11" s="1337"/>
      <c r="E11" s="1338"/>
      <c r="F11" s="1338"/>
      <c r="G11" s="1338"/>
      <c r="H11" s="1338"/>
      <c r="I11" s="1338"/>
      <c r="J11" s="1338"/>
      <c r="K11" s="1338"/>
      <c r="L11" s="1335"/>
      <c r="M11" s="1338"/>
    </row>
    <row r="12" spans="2:14" ht="21" customHeight="1" x14ac:dyDescent="0.2">
      <c r="B12" s="1938" t="s">
        <v>2090</v>
      </c>
      <c r="C12" s="1336"/>
      <c r="D12" s="1337"/>
      <c r="E12" s="1338"/>
      <c r="F12" s="1338"/>
      <c r="G12" s="1338"/>
      <c r="H12" s="1338"/>
      <c r="I12" s="1338"/>
      <c r="J12" s="1338"/>
      <c r="K12" s="1338"/>
      <c r="L12" s="1335"/>
      <c r="M12" s="1338"/>
    </row>
    <row r="13" spans="2:14" ht="20.100000000000001" customHeight="1" x14ac:dyDescent="0.2">
      <c r="B13" s="1939" t="s">
        <v>2091</v>
      </c>
      <c r="C13" s="1336">
        <v>93.778000000000006</v>
      </c>
      <c r="D13" s="1337">
        <v>2018</v>
      </c>
      <c r="E13" s="1338">
        <v>40566</v>
      </c>
      <c r="F13" s="1338">
        <v>18157</v>
      </c>
      <c r="G13" s="1338">
        <v>40566</v>
      </c>
      <c r="H13" s="1338">
        <v>0</v>
      </c>
      <c r="I13" s="1338">
        <v>18157</v>
      </c>
      <c r="J13" s="1338">
        <v>0</v>
      </c>
      <c r="K13" s="1338">
        <v>0</v>
      </c>
      <c r="L13" s="1335">
        <f>+G13+I13+K13</f>
        <v>58723</v>
      </c>
      <c r="M13" s="1338" t="s">
        <v>2092</v>
      </c>
    </row>
    <row r="14" spans="2:14" ht="20.100000000000001" customHeight="1" x14ac:dyDescent="0.2">
      <c r="B14" s="1952"/>
      <c r="C14" s="1945"/>
      <c r="D14" s="1946">
        <v>2019</v>
      </c>
      <c r="E14" s="1947">
        <v>0</v>
      </c>
      <c r="F14" s="1940">
        <v>50158</v>
      </c>
      <c r="G14" s="1947">
        <v>0</v>
      </c>
      <c r="H14" s="1947">
        <v>0</v>
      </c>
      <c r="I14" s="1949">
        <v>50158</v>
      </c>
      <c r="J14" s="1949">
        <v>0</v>
      </c>
      <c r="K14" s="1947">
        <v>0</v>
      </c>
      <c r="L14" s="1335">
        <f>+G14+I14+K14</f>
        <v>50158</v>
      </c>
      <c r="M14" s="1338" t="s">
        <v>2092</v>
      </c>
    </row>
    <row r="15" spans="2:14" ht="20.100000000000001" customHeight="1" x14ac:dyDescent="0.2">
      <c r="B15" s="1334"/>
      <c r="C15" s="1945"/>
      <c r="D15" s="1946"/>
      <c r="E15" s="1947"/>
      <c r="F15" s="1953">
        <f>SUM(F13:F14)</f>
        <v>68315</v>
      </c>
      <c r="G15" s="1947"/>
      <c r="H15" s="1947"/>
      <c r="I15" s="1953">
        <f>SUM(I13:I14)</f>
        <v>68315</v>
      </c>
      <c r="J15" s="1953">
        <f>SUM(J13:J14)</f>
        <v>0</v>
      </c>
      <c r="K15" s="1947"/>
      <c r="L15" s="1944"/>
      <c r="M15" s="1948"/>
    </row>
    <row r="16" spans="2:14" ht="20.100000000000001" customHeight="1" x14ac:dyDescent="0.2">
      <c r="B16" s="1334"/>
      <c r="C16" s="1945"/>
      <c r="D16" s="1946"/>
      <c r="E16" s="1947"/>
      <c r="F16" s="1943"/>
      <c r="G16" s="1947"/>
      <c r="H16" s="1947"/>
      <c r="I16" s="1943"/>
      <c r="J16" s="1943"/>
      <c r="K16" s="1947"/>
      <c r="L16" s="1944"/>
      <c r="M16" s="1948"/>
    </row>
    <row r="17" spans="2:14" ht="20.100000000000001" customHeight="1" x14ac:dyDescent="0.2">
      <c r="B17" s="1938" t="s">
        <v>2093</v>
      </c>
      <c r="C17" s="1945"/>
      <c r="D17" s="1946"/>
      <c r="E17" s="1946"/>
      <c r="F17" s="1949">
        <f>F15+' SEFA'!F22</f>
        <v>1515132</v>
      </c>
      <c r="G17" s="1946"/>
      <c r="H17" s="1946"/>
      <c r="I17" s="1949">
        <f>I15+' SEFA'!I22</f>
        <v>1515132</v>
      </c>
      <c r="J17" s="1949">
        <f>J15+' SEFA'!J22</f>
        <v>0</v>
      </c>
      <c r="K17" s="1946"/>
      <c r="L17" s="1944"/>
      <c r="M17" s="1948"/>
    </row>
    <row r="18" spans="2:14" ht="20.100000000000001" customHeight="1" x14ac:dyDescent="0.2">
      <c r="B18" s="1952"/>
      <c r="C18" s="1945"/>
      <c r="D18" s="1946"/>
      <c r="E18" s="1946"/>
      <c r="F18" s="1942"/>
      <c r="G18" s="1946"/>
      <c r="H18" s="1946"/>
      <c r="I18" s="1942"/>
      <c r="J18" s="1942"/>
      <c r="K18" s="1946"/>
      <c r="L18" s="1944"/>
      <c r="M18" s="1948"/>
    </row>
    <row r="19" spans="2:14" ht="20.100000000000001" customHeight="1" x14ac:dyDescent="0.2">
      <c r="B19" s="1952"/>
      <c r="C19" s="1945"/>
      <c r="D19" s="1946"/>
      <c r="E19" s="1946"/>
      <c r="F19" s="1946"/>
      <c r="G19" s="1946"/>
      <c r="H19" s="1946"/>
      <c r="I19" s="1946"/>
      <c r="J19" s="1946"/>
      <c r="K19" s="1946"/>
      <c r="L19" s="1944"/>
      <c r="M19" s="1948"/>
    </row>
    <row r="20" spans="2:14" ht="20.100000000000001" customHeight="1" x14ac:dyDescent="0.2">
      <c r="B20" s="1952"/>
      <c r="C20" s="1945"/>
      <c r="D20" s="1946"/>
      <c r="E20" s="1947"/>
      <c r="F20" s="1947"/>
      <c r="G20" s="1947"/>
      <c r="H20" s="1947"/>
      <c r="I20" s="1947"/>
      <c r="J20" s="1947"/>
      <c r="K20" s="1947"/>
      <c r="L20" s="1944"/>
      <c r="M20" s="1948"/>
    </row>
    <row r="21" spans="2:14" ht="20.100000000000001" customHeight="1" x14ac:dyDescent="0.2">
      <c r="B21" s="1334"/>
      <c r="C21" s="1945"/>
      <c r="D21" s="1946"/>
      <c r="E21" s="1947"/>
      <c r="F21" s="1947"/>
      <c r="G21" s="1947"/>
      <c r="H21" s="1947"/>
      <c r="I21" s="1947"/>
      <c r="J21" s="1947"/>
      <c r="K21" s="1947"/>
      <c r="L21" s="1944"/>
      <c r="M21" s="1948"/>
    </row>
    <row r="22" spans="2:14" ht="21" customHeight="1" x14ac:dyDescent="0.2">
      <c r="B22" s="1334"/>
      <c r="C22" s="1945"/>
      <c r="D22" s="1946"/>
      <c r="E22" s="1947"/>
      <c r="F22" s="1947"/>
      <c r="G22" s="1947"/>
      <c r="H22" s="1947"/>
      <c r="I22" s="1947"/>
      <c r="J22" s="1947"/>
      <c r="K22" s="1947"/>
      <c r="L22" s="1944"/>
      <c r="M22" s="1948"/>
    </row>
    <row r="23" spans="2:14" ht="20.100000000000001" customHeight="1" x14ac:dyDescent="0.2">
      <c r="B23" s="1952"/>
      <c r="C23" s="1945"/>
      <c r="D23" s="1946"/>
      <c r="E23" s="1946"/>
      <c r="F23" s="1946"/>
      <c r="G23" s="1946"/>
      <c r="H23" s="1946"/>
      <c r="I23" s="1946"/>
      <c r="J23" s="1946"/>
      <c r="K23" s="1946"/>
      <c r="L23" s="1944"/>
      <c r="M23" s="1948"/>
    </row>
    <row r="24" spans="2:14" ht="21" customHeight="1" x14ac:dyDescent="0.2">
      <c r="B24" s="1952"/>
      <c r="C24" s="1945"/>
      <c r="D24" s="1946"/>
      <c r="E24" s="1946"/>
      <c r="F24" s="1946"/>
      <c r="G24" s="1946"/>
      <c r="H24" s="1946"/>
      <c r="I24" s="1946"/>
      <c r="J24" s="1946"/>
      <c r="K24" s="1946"/>
      <c r="L24" s="1944"/>
      <c r="M24" s="1948"/>
    </row>
    <row r="25" spans="2:14" ht="20.100000000000001" customHeight="1" x14ac:dyDescent="0.2">
      <c r="B25" s="1952"/>
      <c r="C25" s="1945"/>
      <c r="D25" s="1946"/>
      <c r="E25" s="1947"/>
      <c r="F25" s="1947"/>
      <c r="G25" s="1947"/>
      <c r="H25" s="1947"/>
      <c r="I25" s="1947"/>
      <c r="J25" s="1947"/>
      <c r="K25" s="1947"/>
      <c r="L25" s="1944"/>
      <c r="M25" s="1948"/>
    </row>
    <row r="26" spans="2:14" ht="20.100000000000001" customHeight="1" x14ac:dyDescent="0.2">
      <c r="B26" s="1334"/>
      <c r="C26" s="1945"/>
      <c r="D26" s="1946"/>
      <c r="E26" s="1947"/>
      <c r="F26" s="1947"/>
      <c r="G26" s="1947"/>
      <c r="H26" s="1947"/>
      <c r="I26" s="1947"/>
      <c r="J26" s="1947"/>
      <c r="K26" s="1947"/>
      <c r="L26" s="1944"/>
      <c r="M26" s="1948"/>
    </row>
    <row r="27" spans="2:14" ht="20.100000000000001" customHeight="1" x14ac:dyDescent="0.2">
      <c r="B27" s="1334"/>
      <c r="C27" s="1945"/>
      <c r="D27" s="1946"/>
      <c r="E27" s="1947"/>
      <c r="F27" s="1947"/>
      <c r="G27" s="1947"/>
      <c r="H27" s="1947"/>
      <c r="I27" s="1947"/>
      <c r="J27" s="1947"/>
      <c r="K27" s="1947"/>
      <c r="L27" s="1944"/>
      <c r="M27" s="194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1736</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1839</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7" t="s">
        <v>1585</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1739</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1740</v>
      </c>
      <c r="C45" s="1363"/>
      <c r="D45" s="1364"/>
      <c r="E45" s="1297"/>
      <c r="F45" s="1297"/>
      <c r="G45" s="1297"/>
      <c r="H45" s="1297"/>
      <c r="I45" s="1297"/>
      <c r="J45" s="1297"/>
      <c r="K45" s="1365"/>
      <c r="L45" s="1365"/>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43&amp;R&amp;8Page 43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2073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2073</v>
      </c>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2080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2064</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1904</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Knox Warren Spec Ed Districts</v>
      </c>
      <c r="B1" s="2456"/>
      <c r="C1" s="2456"/>
      <c r="D1" s="2456"/>
      <c r="E1" s="2456"/>
      <c r="F1" s="2456"/>
    </row>
    <row r="2" spans="1:7" ht="13.5" customHeight="1" x14ac:dyDescent="0.2">
      <c r="A2" s="2452">
        <f>'Single Audit Cover'!E7</f>
        <v>33048801060</v>
      </c>
      <c r="B2" s="2452"/>
      <c r="C2" s="2452"/>
      <c r="D2" s="2452"/>
      <c r="E2" s="2452"/>
      <c r="F2" s="2452"/>
      <c r="G2" s="1272"/>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1728</v>
      </c>
      <c r="C6" s="317"/>
      <c r="D6" s="317"/>
    </row>
    <row r="7" spans="1:7" ht="60.95" customHeight="1" x14ac:dyDescent="0.2">
      <c r="A7" s="2455" t="s">
        <v>2099</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2073</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55" t="s">
        <v>1730</v>
      </c>
      <c r="B13" s="2455"/>
      <c r="C13" s="2455"/>
      <c r="D13" s="2455"/>
      <c r="E13" s="2455"/>
      <c r="F13" s="2455"/>
    </row>
    <row r="14" spans="1:7" ht="9.75" customHeight="1" x14ac:dyDescent="0.2">
      <c r="C14" s="1257"/>
      <c r="D14" s="1257"/>
    </row>
    <row r="15" spans="1:7" ht="13.5" customHeight="1" x14ac:dyDescent="0.2">
      <c r="C15" s="1844" t="s">
        <v>1270</v>
      </c>
      <c r="D15" s="2460" t="s">
        <v>1269</v>
      </c>
      <c r="E15" s="2460"/>
      <c r="F15" s="2460"/>
    </row>
    <row r="16" spans="1:7" ht="13.5" customHeight="1" x14ac:dyDescent="0.2">
      <c r="A16" s="1279"/>
      <c r="B16" s="1273" t="s">
        <v>1268</v>
      </c>
      <c r="C16" s="1844" t="s">
        <v>1267</v>
      </c>
      <c r="D16" s="2461" t="s">
        <v>1588</v>
      </c>
      <c r="E16" s="2461"/>
      <c r="F16" s="2461"/>
    </row>
    <row r="17" spans="1:6" ht="20.45" customHeight="1" x14ac:dyDescent="0.2">
      <c r="A17" s="1280"/>
      <c r="B17" s="1281"/>
      <c r="C17" s="1282"/>
      <c r="D17" s="2459"/>
      <c r="E17" s="2459"/>
      <c r="F17" s="2459"/>
    </row>
    <row r="18" spans="1:6" ht="20.65" customHeight="1" x14ac:dyDescent="0.2">
      <c r="A18" s="1280"/>
      <c r="B18" s="1954" t="s">
        <v>2100</v>
      </c>
      <c r="C18" s="1282"/>
      <c r="D18" s="2459"/>
      <c r="E18" s="2459"/>
      <c r="F18" s="2459"/>
    </row>
    <row r="19" spans="1:6" ht="20.65" customHeight="1" x14ac:dyDescent="0.2">
      <c r="A19" s="1280"/>
      <c r="B19" s="1281"/>
      <c r="C19" s="1282"/>
      <c r="D19" s="2459"/>
      <c r="E19" s="2459"/>
      <c r="F19" s="2459"/>
    </row>
    <row r="20" spans="1:6" ht="20.65" customHeight="1" x14ac:dyDescent="0.2">
      <c r="A20" s="1280"/>
      <c r="B20" s="1281"/>
      <c r="C20" s="1282"/>
      <c r="D20" s="2459"/>
      <c r="E20" s="2459"/>
      <c r="F20" s="2459"/>
    </row>
    <row r="21" spans="1:6" ht="20.65" customHeight="1" x14ac:dyDescent="0.2">
      <c r="A21" s="1280"/>
      <c r="B21" s="1281"/>
      <c r="C21" s="1282"/>
      <c r="D21" s="2459"/>
      <c r="E21" s="2459"/>
      <c r="F21" s="2459"/>
    </row>
    <row r="22" spans="1:6" ht="20.65" customHeight="1" x14ac:dyDescent="0.2">
      <c r="A22" s="1280"/>
      <c r="B22" s="1281"/>
      <c r="C22" s="1282"/>
      <c r="D22" s="2459"/>
      <c r="E22" s="2459"/>
      <c r="F22" s="2459"/>
    </row>
    <row r="23" spans="1:6" ht="20.65" customHeight="1" x14ac:dyDescent="0.2">
      <c r="A23" s="1280"/>
      <c r="B23" s="1281"/>
      <c r="C23" s="1282"/>
      <c r="D23" s="2459"/>
      <c r="E23" s="2459"/>
      <c r="F23" s="2459"/>
    </row>
    <row r="24" spans="1:6" ht="20.65" customHeight="1" x14ac:dyDescent="0.2">
      <c r="A24" s="1280"/>
      <c r="B24" s="1281"/>
      <c r="C24" s="1282"/>
      <c r="D24" s="2459"/>
      <c r="E24" s="2459"/>
      <c r="F24" s="2459"/>
    </row>
    <row r="25" spans="1:6" ht="20.65" customHeight="1" x14ac:dyDescent="0.2">
      <c r="A25" s="1280"/>
      <c r="B25" s="1281"/>
      <c r="C25" s="1282"/>
      <c r="D25" s="2459"/>
      <c r="E25" s="2459"/>
      <c r="F25" s="2459"/>
    </row>
    <row r="26" spans="1:6" ht="20.65" customHeight="1" x14ac:dyDescent="0.2">
      <c r="A26" s="1280"/>
      <c r="B26" s="1281"/>
      <c r="C26" s="1282"/>
      <c r="D26" s="2459"/>
      <c r="E26" s="2459"/>
      <c r="F26" s="2459"/>
    </row>
    <row r="27" spans="1:6" ht="20.65" customHeight="1" x14ac:dyDescent="0.2">
      <c r="A27" s="1280"/>
      <c r="B27" s="1281"/>
      <c r="C27" s="1282"/>
      <c r="D27" s="2459"/>
      <c r="E27" s="2459"/>
      <c r="F27" s="2459"/>
    </row>
    <row r="28" spans="1:6" ht="20.65" customHeight="1" x14ac:dyDescent="0.2">
      <c r="A28" s="1280"/>
      <c r="B28" s="1281"/>
      <c r="C28" s="1282"/>
      <c r="D28" s="2459"/>
      <c r="E28" s="2459"/>
      <c r="F28" s="2459"/>
    </row>
    <row r="29" spans="1:6" ht="20.65" customHeight="1" x14ac:dyDescent="0.2">
      <c r="A29" s="1280"/>
      <c r="B29" s="1281"/>
      <c r="C29" s="1282"/>
      <c r="D29" s="2459"/>
      <c r="E29" s="2459"/>
      <c r="F29" s="2459"/>
    </row>
    <row r="30" spans="1:6" ht="12" customHeight="1" x14ac:dyDescent="0.2">
      <c r="A30" s="328"/>
      <c r="B30" s="328"/>
      <c r="C30" s="1460"/>
      <c r="D30" s="1901"/>
      <c r="E30" s="1283"/>
    </row>
    <row r="31" spans="1:6" ht="12" customHeight="1" x14ac:dyDescent="0.2">
      <c r="A31" s="1284" t="s">
        <v>1549</v>
      </c>
      <c r="B31" s="328"/>
      <c r="C31" s="1460"/>
      <c r="D31" s="1901"/>
      <c r="E31" s="1283"/>
    </row>
    <row r="32" spans="1:6" ht="30" customHeight="1" x14ac:dyDescent="0.2">
      <c r="A32" s="2463" t="s">
        <v>1731</v>
      </c>
      <c r="B32" s="2463"/>
      <c r="C32" s="2463"/>
      <c r="D32" s="2463"/>
      <c r="E32" s="2463"/>
      <c r="F32" s="2463"/>
    </row>
    <row r="33" spans="1:6" ht="13.5" customHeight="1" x14ac:dyDescent="0.2">
      <c r="A33" s="328" t="s">
        <v>1434</v>
      </c>
      <c r="B33" s="328"/>
      <c r="C33" s="1285">
        <v>0</v>
      </c>
      <c r="D33" s="1901"/>
      <c r="E33" s="1283"/>
    </row>
    <row r="34" spans="1:6" ht="13.5" customHeight="1" x14ac:dyDescent="0.2">
      <c r="A34" s="328" t="s">
        <v>1837</v>
      </c>
      <c r="B34" s="328"/>
      <c r="C34" s="1286">
        <v>0</v>
      </c>
      <c r="D34" s="1901" t="s">
        <v>1589</v>
      </c>
      <c r="E34" s="2464">
        <f>+C33+C34</f>
        <v>0</v>
      </c>
      <c r="F34" s="2465"/>
    </row>
    <row r="35" spans="1:6" ht="12" customHeight="1" x14ac:dyDescent="0.2">
      <c r="A35" s="328"/>
      <c r="B35" s="328"/>
      <c r="C35" s="1902"/>
      <c r="D35" s="1901"/>
      <c r="E35" s="1287"/>
      <c r="F35" s="1288"/>
    </row>
    <row r="36" spans="1:6" ht="13.5" customHeight="1" x14ac:dyDescent="0.2">
      <c r="A36" s="1284" t="s">
        <v>1550</v>
      </c>
      <c r="B36" s="328"/>
      <c r="C36" s="1460"/>
      <c r="D36" s="1901"/>
      <c r="E36" s="1283"/>
    </row>
    <row r="37" spans="1:6" ht="14.25" customHeight="1" x14ac:dyDescent="0.2">
      <c r="A37" s="328" t="s">
        <v>1484</v>
      </c>
      <c r="B37" s="328"/>
      <c r="C37" s="1903"/>
      <c r="D37" s="1901"/>
      <c r="E37" s="1283"/>
    </row>
    <row r="38" spans="1:6" ht="14.25" customHeight="1" x14ac:dyDescent="0.2">
      <c r="A38" s="328"/>
      <c r="B38" s="328" t="s">
        <v>1435</v>
      </c>
      <c r="C38" s="1289">
        <v>0</v>
      </c>
      <c r="D38" s="1901"/>
      <c r="E38" s="1283"/>
    </row>
    <row r="39" spans="1:6" ht="14.25" customHeight="1" x14ac:dyDescent="0.2">
      <c r="A39" s="328"/>
      <c r="B39" s="328" t="s">
        <v>1436</v>
      </c>
      <c r="C39" s="1289">
        <v>0</v>
      </c>
      <c r="D39" s="1901"/>
      <c r="E39" s="1283"/>
    </row>
    <row r="40" spans="1:6" ht="14.25" customHeight="1" x14ac:dyDescent="0.2">
      <c r="A40" s="328"/>
      <c r="B40" s="328" t="s">
        <v>1437</v>
      </c>
      <c r="C40" s="1289">
        <v>0</v>
      </c>
      <c r="D40" s="1901"/>
      <c r="E40" s="1283"/>
    </row>
    <row r="41" spans="1:6" ht="14.25" customHeight="1" x14ac:dyDescent="0.2">
      <c r="A41" s="328"/>
      <c r="B41" s="328" t="s">
        <v>1438</v>
      </c>
      <c r="C41" s="1289">
        <v>0</v>
      </c>
      <c r="D41" s="1901"/>
      <c r="E41" s="1283"/>
    </row>
    <row r="42" spans="1:6" ht="14.25" customHeight="1" x14ac:dyDescent="0.2">
      <c r="A42" s="328" t="s">
        <v>1439</v>
      </c>
      <c r="B42" s="328"/>
      <c r="C42" s="1899">
        <v>0</v>
      </c>
      <c r="D42" s="1901"/>
      <c r="E42" s="1283"/>
    </row>
    <row r="43" spans="1:6" ht="14.25" customHeight="1" x14ac:dyDescent="0.2">
      <c r="A43" s="328" t="s">
        <v>1440</v>
      </c>
      <c r="B43" s="328"/>
      <c r="C43" s="1290" t="s">
        <v>383</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6" t="s">
        <v>1590</v>
      </c>
      <c r="C49" s="2466"/>
      <c r="D49" s="2466"/>
      <c r="E49" s="1394"/>
    </row>
    <row r="50" spans="1:5" s="1297" customFormat="1" ht="3.75" customHeight="1" x14ac:dyDescent="0.2">
      <c r="A50" s="1296"/>
      <c r="B50" s="1843"/>
      <c r="C50" s="1843"/>
      <c r="D50" s="1843"/>
      <c r="E50" s="1394"/>
    </row>
    <row r="51" spans="1:5" s="1297" customFormat="1" ht="20.25" customHeight="1" x14ac:dyDescent="0.2">
      <c r="A51" s="1298">
        <v>6</v>
      </c>
      <c r="B51" s="2462" t="s">
        <v>1551</v>
      </c>
      <c r="C51" s="2462"/>
      <c r="D51" s="2462"/>
    </row>
    <row r="52" spans="1:5" ht="14.25" customHeight="1" x14ac:dyDescent="0.2">
      <c r="A52" s="1298"/>
      <c r="B52" s="2462"/>
      <c r="C52" s="2462"/>
      <c r="D52" s="24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44" orientation="portrait" useFirstPageNumber="1" r:id="rId1"/>
  <headerFooter alignWithMargins="0">
    <oddHeader>&amp;L&amp;8Page 44&amp;R&amp;8Page 44</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G52" sqref="G52"/>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Knox Warren Spec Ed Districts</v>
      </c>
      <c r="C1" s="2472"/>
      <c r="D1" s="2472"/>
      <c r="E1" s="2472"/>
      <c r="F1" s="2472"/>
      <c r="G1" s="2472"/>
      <c r="H1" s="2472"/>
      <c r="I1" s="2472"/>
      <c r="J1" s="1404"/>
    </row>
    <row r="2" spans="2:10" s="317" customFormat="1" ht="12.75" customHeight="1" x14ac:dyDescent="0.2">
      <c r="B2" s="2473">
        <f>'Single Audit Cover'!E7</f>
        <v>33048801060</v>
      </c>
      <c r="C2" s="2474"/>
      <c r="D2" s="2474"/>
      <c r="E2" s="2474"/>
      <c r="F2" s="2474"/>
      <c r="G2" s="2474"/>
      <c r="H2" s="2474"/>
      <c r="I2" s="2474"/>
      <c r="J2" s="1404"/>
    </row>
    <row r="3" spans="2:10" s="317" customFormat="1" ht="12.75" customHeight="1" x14ac:dyDescent="0.2">
      <c r="B3" s="2475" t="s">
        <v>1285</v>
      </c>
      <c r="C3" s="2476"/>
      <c r="D3" s="2476"/>
      <c r="E3" s="2476"/>
      <c r="F3" s="2476"/>
      <c r="G3" s="2476"/>
      <c r="H3" s="2476"/>
      <c r="I3" s="2476"/>
      <c r="J3" s="1405"/>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5" t="s">
        <v>1284</v>
      </c>
      <c r="C7" s="2476"/>
      <c r="D7" s="2476"/>
      <c r="E7" s="2476"/>
      <c r="F7" s="2476"/>
      <c r="G7" s="2476"/>
      <c r="H7" s="2476"/>
      <c r="I7" s="2476"/>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77" t="s">
        <v>2105</v>
      </c>
      <c r="D11" s="2477"/>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t="s">
        <v>2073</v>
      </c>
      <c r="F15" s="1297" t="s">
        <v>885</v>
      </c>
      <c r="G15" s="1420"/>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t="s">
        <v>2073</v>
      </c>
      <c r="F18" s="1297" t="s">
        <v>885</v>
      </c>
      <c r="G18" s="1420"/>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2073</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t="s">
        <v>2073</v>
      </c>
      <c r="F24" s="1297" t="s">
        <v>885</v>
      </c>
      <c r="G24" s="1420"/>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c r="F27" s="1297" t="s">
        <v>885</v>
      </c>
      <c r="G27" s="1420" t="s">
        <v>2073</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78" t="s">
        <v>2106</v>
      </c>
      <c r="E29" s="2478"/>
      <c r="F29" s="2478"/>
      <c r="G29" s="2478"/>
      <c r="H29" s="2478"/>
      <c r="I29" s="2478"/>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t="s">
        <v>2073</v>
      </c>
      <c r="F33" s="1297" t="s">
        <v>885</v>
      </c>
      <c r="G33" s="1420"/>
      <c r="H33" s="1297" t="s">
        <v>99</v>
      </c>
    </row>
    <row r="35" spans="2:9" x14ac:dyDescent="0.2">
      <c r="B35" s="1423" t="s">
        <v>1748</v>
      </c>
      <c r="C35" s="1424"/>
      <c r="D35" s="1264"/>
    </row>
    <row r="36" spans="2:9" ht="6" customHeight="1" x14ac:dyDescent="0.2">
      <c r="B36" s="1423"/>
      <c r="C36" s="1424"/>
      <c r="D36" s="1264"/>
    </row>
    <row r="37" spans="2:9" ht="17.25" customHeight="1" x14ac:dyDescent="0.2">
      <c r="B37" s="1425" t="s">
        <v>1749</v>
      </c>
      <c r="C37" s="2479" t="s">
        <v>1750</v>
      </c>
      <c r="D37" s="2480"/>
      <c r="E37" s="2480"/>
      <c r="F37" s="2481"/>
      <c r="G37" s="2479" t="s">
        <v>1592</v>
      </c>
      <c r="H37" s="2480"/>
      <c r="I37" s="2481"/>
    </row>
    <row r="38" spans="2:9" ht="16.5" customHeight="1" x14ac:dyDescent="0.2">
      <c r="B38" s="1426"/>
      <c r="C38" s="2467"/>
      <c r="D38" s="2468"/>
      <c r="E38" s="2468"/>
      <c r="F38" s="2469"/>
      <c r="G38" s="2482"/>
      <c r="H38" s="2483"/>
      <c r="I38" s="2484"/>
    </row>
    <row r="39" spans="2:9" ht="16.5" customHeight="1" x14ac:dyDescent="0.2">
      <c r="B39" s="1426" t="s">
        <v>2107</v>
      </c>
      <c r="C39" s="2467" t="s">
        <v>2108</v>
      </c>
      <c r="D39" s="2468"/>
      <c r="E39" s="2468"/>
      <c r="F39" s="2469"/>
      <c r="G39" s="2470">
        <v>1446817</v>
      </c>
      <c r="H39" s="2470"/>
      <c r="I39" s="2470"/>
    </row>
    <row r="40" spans="2:9" ht="16.5" customHeight="1" x14ac:dyDescent="0.2">
      <c r="B40" s="1426"/>
      <c r="C40" s="2467"/>
      <c r="D40" s="2468"/>
      <c r="E40" s="2468"/>
      <c r="F40" s="2469"/>
      <c r="G40" s="2470"/>
      <c r="H40" s="2470"/>
      <c r="I40" s="2470"/>
    </row>
    <row r="41" spans="2:9" ht="16.5" customHeight="1" x14ac:dyDescent="0.2">
      <c r="B41" s="1426"/>
      <c r="C41" s="2467"/>
      <c r="D41" s="2468"/>
      <c r="E41" s="2468"/>
      <c r="F41" s="2469"/>
      <c r="G41" s="2470"/>
      <c r="H41" s="2470"/>
      <c r="I41" s="2470"/>
    </row>
    <row r="42" spans="2:9" ht="16.5" customHeight="1" x14ac:dyDescent="0.2">
      <c r="B42" s="1426"/>
      <c r="C42" s="2467"/>
      <c r="D42" s="2468"/>
      <c r="E42" s="2468"/>
      <c r="F42" s="2469"/>
      <c r="G42" s="2470"/>
      <c r="H42" s="2470"/>
      <c r="I42" s="2470"/>
    </row>
    <row r="43" spans="2:9" ht="16.5" customHeight="1" x14ac:dyDescent="0.2">
      <c r="B43" s="1426"/>
      <c r="C43" s="2485" t="s">
        <v>1593</v>
      </c>
      <c r="D43" s="2486"/>
      <c r="E43" s="2486"/>
      <c r="F43" s="2487"/>
      <c r="G43" s="2488">
        <f>SUM(G38:I42)</f>
        <v>1446817</v>
      </c>
      <c r="H43" s="2488"/>
      <c r="I43" s="2488"/>
    </row>
    <row r="44" spans="2:9" ht="12.75" customHeight="1" x14ac:dyDescent="0.2"/>
    <row r="45" spans="2:9" ht="12.75" customHeight="1" x14ac:dyDescent="0.2">
      <c r="B45" s="1417" t="s">
        <v>2061</v>
      </c>
      <c r="D45" s="2489">
        <v>1515132</v>
      </c>
      <c r="E45" s="2490"/>
    </row>
    <row r="46" spans="2:9" ht="5.25" customHeight="1" x14ac:dyDescent="0.2">
      <c r="B46" s="1427"/>
      <c r="D46" s="1428"/>
      <c r="E46" s="1429"/>
    </row>
    <row r="47" spans="2:9" ht="12.75" customHeight="1" x14ac:dyDescent="0.2">
      <c r="B47" s="1297" t="s">
        <v>1594</v>
      </c>
      <c r="C47" s="1297"/>
      <c r="D47" s="1430">
        <f>+G43/D45</f>
        <v>0.9549115192603681</v>
      </c>
      <c r="E47" s="1431"/>
      <c r="F47" s="1432"/>
      <c r="I47" s="1433"/>
    </row>
    <row r="48" spans="2:9" ht="9.9499999999999993" customHeight="1" x14ac:dyDescent="0.2"/>
    <row r="49" spans="1:9" x14ac:dyDescent="0.2">
      <c r="B49" s="1363" t="s">
        <v>1273</v>
      </c>
      <c r="C49" s="1279"/>
      <c r="D49" s="1279"/>
      <c r="E49" s="2491">
        <v>750000</v>
      </c>
      <c r="F49" s="2491"/>
      <c r="G49" s="2491"/>
      <c r="H49" s="322"/>
    </row>
    <row r="51" spans="1:9" ht="13.5" customHeight="1" x14ac:dyDescent="0.2">
      <c r="B51" s="1363" t="s">
        <v>1272</v>
      </c>
      <c r="C51" s="1279"/>
      <c r="E51" s="1420"/>
      <c r="F51" s="1297" t="s">
        <v>885</v>
      </c>
      <c r="G51" s="1420" t="s">
        <v>2073</v>
      </c>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5" orientation="portrait" useFirstPageNumber="1" r:id="rId1"/>
  <headerFooter alignWithMargins="0">
    <oddHeader>&amp;L&amp;8Page 45&amp;R&amp;8Page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Knox Warren Spec Ed Districts</v>
      </c>
      <c r="C1" s="2471"/>
      <c r="D1" s="2471"/>
      <c r="E1" s="2471"/>
      <c r="F1" s="2471"/>
      <c r="G1" s="2471"/>
      <c r="H1" s="2471"/>
      <c r="I1" s="2471"/>
      <c r="J1" s="2471"/>
      <c r="K1" s="2471"/>
      <c r="L1" s="1369"/>
      <c r="M1" s="1369"/>
    </row>
    <row r="2" spans="1:13" ht="12" customHeight="1" x14ac:dyDescent="0.2">
      <c r="B2" s="2473">
        <f>'Single Audit Cover'!E7</f>
        <v>33048801060</v>
      </c>
      <c r="C2" s="2473"/>
      <c r="D2" s="2473"/>
      <c r="E2" s="2473"/>
      <c r="F2" s="2473"/>
      <c r="G2" s="2473"/>
      <c r="H2" s="2473"/>
      <c r="I2" s="2473"/>
      <c r="J2" s="2473"/>
      <c r="K2" s="2473"/>
      <c r="L2" s="1370"/>
      <c r="M2" s="1371"/>
    </row>
    <row r="3" spans="1:13" ht="10.35" customHeight="1" x14ac:dyDescent="0.2">
      <c r="B3" s="2494" t="s">
        <v>1285</v>
      </c>
      <c r="C3" s="2494"/>
      <c r="D3" s="2494"/>
      <c r="E3" s="2494"/>
      <c r="F3" s="2494"/>
      <c r="G3" s="2494"/>
      <c r="H3" s="2494"/>
      <c r="I3" s="2494"/>
      <c r="J3" s="2494"/>
      <c r="K3" s="2494"/>
      <c r="L3" s="1372"/>
      <c r="M3" s="1372"/>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95" t="s">
        <v>1296</v>
      </c>
      <c r="C7" s="2495"/>
      <c r="D7" s="2496"/>
      <c r="E7" s="2496"/>
      <c r="F7" s="2496"/>
      <c r="G7" s="2496"/>
      <c r="H7" s="2496"/>
      <c r="I7" s="2496"/>
      <c r="J7" s="2496"/>
      <c r="K7" s="249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1</v>
      </c>
      <c r="E10" s="322"/>
      <c r="F10" s="1382" t="s">
        <v>1295</v>
      </c>
      <c r="G10" s="1383"/>
      <c r="H10" s="1384" t="s">
        <v>1294</v>
      </c>
      <c r="I10" s="1383" t="s">
        <v>2073</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93" t="s">
        <v>2109</v>
      </c>
      <c r="C14" s="2493"/>
      <c r="D14" s="2493"/>
      <c r="E14" s="2493"/>
      <c r="F14" s="2493"/>
      <c r="G14" s="2493"/>
      <c r="H14" s="2493"/>
      <c r="I14" s="2493"/>
      <c r="J14" s="2493"/>
      <c r="K14" s="2493"/>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93" t="s">
        <v>2110</v>
      </c>
      <c r="C17" s="2493"/>
      <c r="D17" s="2493"/>
      <c r="E17" s="2493"/>
      <c r="F17" s="2493"/>
      <c r="G17" s="2493"/>
      <c r="H17" s="2493"/>
      <c r="I17" s="2493"/>
      <c r="J17" s="2493"/>
      <c r="K17" s="2493"/>
      <c r="L17" s="1376"/>
    </row>
    <row r="18" spans="2:12" ht="4.5" customHeight="1" x14ac:dyDescent="0.2">
      <c r="B18" s="1393"/>
      <c r="C18" s="1393"/>
      <c r="L18" s="1376"/>
    </row>
    <row r="19" spans="2:12" s="1279" customFormat="1" ht="13.5" customHeight="1" x14ac:dyDescent="0.2">
      <c r="B19" s="1388" t="s">
        <v>1742</v>
      </c>
      <c r="C19" s="1388"/>
      <c r="D19" s="1389"/>
      <c r="E19" s="1389"/>
      <c r="F19" s="1389"/>
      <c r="G19" s="1390"/>
      <c r="H19" s="1389"/>
      <c r="I19" s="1390"/>
      <c r="J19" s="1389"/>
      <c r="K19" s="1389"/>
      <c r="L19" s="1391"/>
    </row>
    <row r="20" spans="2:12" ht="45.75" customHeight="1" x14ac:dyDescent="0.2">
      <c r="B20" s="2497" t="s">
        <v>2111</v>
      </c>
      <c r="C20" s="2497"/>
      <c r="D20" s="2493"/>
      <c r="E20" s="2493"/>
      <c r="F20" s="2493"/>
      <c r="G20" s="2493"/>
      <c r="H20" s="2493"/>
      <c r="I20" s="2493"/>
      <c r="J20" s="2493"/>
      <c r="K20" s="249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3" t="s">
        <v>2112</v>
      </c>
      <c r="C23" s="2493"/>
      <c r="D23" s="2493"/>
      <c r="E23" s="2493"/>
      <c r="F23" s="2493"/>
      <c r="G23" s="2493"/>
      <c r="H23" s="2493"/>
      <c r="I23" s="2493"/>
      <c r="J23" s="2493"/>
      <c r="K23" s="249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3" t="s">
        <v>2113</v>
      </c>
      <c r="C26" s="2493"/>
      <c r="D26" s="2493"/>
      <c r="E26" s="2493"/>
      <c r="F26" s="2493"/>
      <c r="G26" s="2493"/>
      <c r="H26" s="2493"/>
      <c r="I26" s="2493"/>
      <c r="J26" s="2493"/>
      <c r="K26" s="249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2" t="s">
        <v>2114</v>
      </c>
      <c r="C29" s="2492"/>
      <c r="D29" s="2493"/>
      <c r="E29" s="2493"/>
      <c r="F29" s="2493"/>
      <c r="G29" s="2493"/>
      <c r="H29" s="2493"/>
      <c r="I29" s="2493"/>
      <c r="J29" s="2493"/>
      <c r="K29" s="249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92" t="s">
        <v>2115</v>
      </c>
      <c r="C32" s="2492"/>
      <c r="D32" s="2493"/>
      <c r="E32" s="2493"/>
      <c r="F32" s="2493"/>
      <c r="G32" s="2493"/>
      <c r="H32" s="2493"/>
      <c r="I32" s="2493"/>
      <c r="J32" s="2493"/>
      <c r="K32" s="2493"/>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7" t="s">
        <v>1840</v>
      </c>
      <c r="C36" s="1297"/>
      <c r="L36" s="1376"/>
    </row>
    <row r="37" spans="1:13" ht="9.6" customHeight="1" x14ac:dyDescent="0.2">
      <c r="B37" s="1297" t="s">
        <v>1841</v>
      </c>
      <c r="C37" s="1297"/>
    </row>
    <row r="38" spans="1:13" ht="11.85" customHeight="1" x14ac:dyDescent="0.2">
      <c r="B38" s="1402" t="s">
        <v>1745</v>
      </c>
      <c r="C38" s="1402"/>
    </row>
    <row r="39" spans="1:13" ht="9.6" customHeight="1" x14ac:dyDescent="0.2">
      <c r="B39" s="1297" t="s">
        <v>1286</v>
      </c>
      <c r="C39" s="1297"/>
      <c r="M39" s="1403"/>
    </row>
    <row r="40" spans="1:13" ht="12.6" customHeight="1" x14ac:dyDescent="0.2">
      <c r="B40" s="1402" t="s">
        <v>1746</v>
      </c>
      <c r="C40" s="1402"/>
      <c r="M40" s="1403"/>
    </row>
    <row r="41" spans="1:13" ht="9.6" customHeight="1" x14ac:dyDescent="0.2">
      <c r="B41" s="1297"/>
      <c r="C41" s="1297"/>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6" orientation="portrait" useFirstPageNumber="1" r:id="rId1"/>
  <headerFooter alignWithMargins="0">
    <oddHeader>&amp;L&amp;8Page 46&amp;R&amp;8Page 46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0" zoomScale="110" zoomScaleNormal="110" workbookViewId="0">
      <selection activeCell="B24" sqref="B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Knox Warren Spec Ed Districts</v>
      </c>
      <c r="C1" s="2471"/>
      <c r="D1" s="2471"/>
      <c r="E1" s="2471"/>
      <c r="F1" s="2471"/>
      <c r="G1" s="2471"/>
      <c r="H1" s="2471"/>
      <c r="I1" s="2471"/>
      <c r="J1" s="2471"/>
      <c r="K1" s="2471"/>
      <c r="L1" s="1369"/>
      <c r="M1" s="1369"/>
    </row>
    <row r="2" spans="1:13" ht="12" customHeight="1" x14ac:dyDescent="0.2">
      <c r="B2" s="2473">
        <f>'Single Audit Cover'!E7</f>
        <v>33048801060</v>
      </c>
      <c r="C2" s="2473"/>
      <c r="D2" s="2473"/>
      <c r="E2" s="2473"/>
      <c r="F2" s="2473"/>
      <c r="G2" s="2473"/>
      <c r="H2" s="2473"/>
      <c r="I2" s="2473"/>
      <c r="J2" s="2473"/>
      <c r="K2" s="2473"/>
      <c r="L2" s="1370"/>
      <c r="M2" s="1371"/>
    </row>
    <row r="3" spans="1:13" ht="10.35" customHeight="1" x14ac:dyDescent="0.2">
      <c r="B3" s="2494" t="s">
        <v>1285</v>
      </c>
      <c r="C3" s="2494"/>
      <c r="D3" s="2494"/>
      <c r="E3" s="2494"/>
      <c r="F3" s="2494"/>
      <c r="G3" s="2494"/>
      <c r="H3" s="2494"/>
      <c r="I3" s="2494"/>
      <c r="J3" s="2494"/>
      <c r="K3" s="2494"/>
      <c r="L3" s="1955"/>
      <c r="M3" s="1955"/>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95" t="s">
        <v>1296</v>
      </c>
      <c r="C7" s="2495"/>
      <c r="D7" s="2496"/>
      <c r="E7" s="2496"/>
      <c r="F7" s="2496"/>
      <c r="G7" s="2496"/>
      <c r="H7" s="2496"/>
      <c r="I7" s="2496"/>
      <c r="J7" s="2496"/>
      <c r="K7" s="249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2</v>
      </c>
      <c r="E10" s="322"/>
      <c r="F10" s="1382" t="s">
        <v>1295</v>
      </c>
      <c r="G10" s="1383"/>
      <c r="H10" s="1384" t="s">
        <v>1294</v>
      </c>
      <c r="I10" s="1383" t="s">
        <v>2073</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93" t="s">
        <v>2116</v>
      </c>
      <c r="C14" s="2493"/>
      <c r="D14" s="2493"/>
      <c r="E14" s="2493"/>
      <c r="F14" s="2493"/>
      <c r="G14" s="2493"/>
      <c r="H14" s="2493"/>
      <c r="I14" s="2493"/>
      <c r="J14" s="2493"/>
      <c r="K14" s="2493"/>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81.599999999999994" customHeight="1" x14ac:dyDescent="0.2">
      <c r="B17" s="2493" t="s">
        <v>2117</v>
      </c>
      <c r="C17" s="2493"/>
      <c r="D17" s="2493"/>
      <c r="E17" s="2493"/>
      <c r="F17" s="2493"/>
      <c r="G17" s="2493"/>
      <c r="H17" s="2493"/>
      <c r="I17" s="2493"/>
      <c r="J17" s="2493"/>
      <c r="K17" s="2493"/>
      <c r="L17" s="1376"/>
    </row>
    <row r="18" spans="2:12" ht="4.5" customHeight="1" x14ac:dyDescent="0.2">
      <c r="B18" s="1393"/>
      <c r="C18" s="1393"/>
      <c r="L18" s="1376"/>
    </row>
    <row r="19" spans="2:12" s="1279" customFormat="1" ht="13.5" customHeight="1" x14ac:dyDescent="0.2">
      <c r="B19" s="1388" t="s">
        <v>1742</v>
      </c>
      <c r="C19" s="1388"/>
      <c r="D19" s="1389"/>
      <c r="E19" s="1389"/>
      <c r="F19" s="1389"/>
      <c r="G19" s="1390"/>
      <c r="H19" s="1389"/>
      <c r="I19" s="1390"/>
      <c r="J19" s="1389"/>
      <c r="K19" s="1389"/>
      <c r="L19" s="1391"/>
    </row>
    <row r="20" spans="2:12" ht="45.75" customHeight="1" x14ac:dyDescent="0.2">
      <c r="B20" s="2497" t="s">
        <v>2159</v>
      </c>
      <c r="C20" s="2497"/>
      <c r="D20" s="2493"/>
      <c r="E20" s="2493"/>
      <c r="F20" s="2493"/>
      <c r="G20" s="2493"/>
      <c r="H20" s="2493"/>
      <c r="I20" s="2493"/>
      <c r="J20" s="2493"/>
      <c r="K20" s="249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3" t="s">
        <v>2160</v>
      </c>
      <c r="C23" s="2493"/>
      <c r="D23" s="2493"/>
      <c r="E23" s="2493"/>
      <c r="F23" s="2493"/>
      <c r="G23" s="2493"/>
      <c r="H23" s="2493"/>
      <c r="I23" s="2493"/>
      <c r="J23" s="2493"/>
      <c r="K23" s="249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55.15" customHeight="1" x14ac:dyDescent="0.2">
      <c r="B26" s="2493" t="s">
        <v>2118</v>
      </c>
      <c r="C26" s="2493"/>
      <c r="D26" s="2493"/>
      <c r="E26" s="2493"/>
      <c r="F26" s="2493"/>
      <c r="G26" s="2493"/>
      <c r="H26" s="2493"/>
      <c r="I26" s="2493"/>
      <c r="J26" s="2493"/>
      <c r="K26" s="249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73.900000000000006" customHeight="1" x14ac:dyDescent="0.2">
      <c r="B29" s="2492" t="s">
        <v>2119</v>
      </c>
      <c r="C29" s="2492"/>
      <c r="D29" s="2493"/>
      <c r="E29" s="2493"/>
      <c r="F29" s="2493"/>
      <c r="G29" s="2493"/>
      <c r="H29" s="2493"/>
      <c r="I29" s="2493"/>
      <c r="J29" s="2493"/>
      <c r="K29" s="249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92" t="s">
        <v>2120</v>
      </c>
      <c r="C32" s="2492"/>
      <c r="D32" s="2493"/>
      <c r="E32" s="2493"/>
      <c r="F32" s="2493"/>
      <c r="G32" s="2493"/>
      <c r="H32" s="2493"/>
      <c r="I32" s="2493"/>
      <c r="J32" s="2493"/>
      <c r="K32" s="2493"/>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7" t="s">
        <v>1840</v>
      </c>
      <c r="C36" s="1297"/>
      <c r="L36" s="1376"/>
    </row>
    <row r="37" spans="1:13" ht="9.6" customHeight="1" x14ac:dyDescent="0.2">
      <c r="B37" s="1297" t="s">
        <v>1841</v>
      </c>
      <c r="C37" s="1297"/>
    </row>
    <row r="38" spans="1:13" ht="11.85" customHeight="1" x14ac:dyDescent="0.2">
      <c r="B38" s="1402" t="s">
        <v>1745</v>
      </c>
      <c r="C38" s="1402"/>
    </row>
    <row r="39" spans="1:13" ht="9.6" customHeight="1" x14ac:dyDescent="0.2">
      <c r="B39" s="1297" t="s">
        <v>1286</v>
      </c>
      <c r="C39" s="1297"/>
      <c r="M39" s="1403"/>
    </row>
    <row r="40" spans="1:13" ht="12.6" customHeight="1" x14ac:dyDescent="0.2">
      <c r="B40" s="1402" t="s">
        <v>1746</v>
      </c>
      <c r="C40" s="1402"/>
      <c r="M40" s="1403"/>
    </row>
    <row r="41" spans="1:13" ht="9.6" customHeight="1" x14ac:dyDescent="0.2">
      <c r="B41" s="1297"/>
      <c r="C41" s="1297"/>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7" orientation="portrait" useFirstPageNumber="1" r:id="rId1"/>
  <headerFooter alignWithMargins="0">
    <oddHeader>&amp;L&amp;8Page 47&amp;R&amp;8Page 47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F34" sqref="F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Knox Warren Spec Ed Districts</v>
      </c>
      <c r="C1" s="2471"/>
      <c r="D1" s="2471"/>
      <c r="E1" s="2471"/>
      <c r="F1" s="2471"/>
      <c r="G1" s="2471"/>
      <c r="H1" s="2471"/>
      <c r="I1" s="2471"/>
      <c r="J1" s="2471"/>
      <c r="K1" s="2471"/>
      <c r="L1" s="1369"/>
      <c r="M1" s="1369"/>
    </row>
    <row r="2" spans="1:13" ht="12" customHeight="1" x14ac:dyDescent="0.2">
      <c r="B2" s="2473">
        <f>'Single Audit Cover'!E7</f>
        <v>33048801060</v>
      </c>
      <c r="C2" s="2473"/>
      <c r="D2" s="2473"/>
      <c r="E2" s="2473"/>
      <c r="F2" s="2473"/>
      <c r="G2" s="2473"/>
      <c r="H2" s="2473"/>
      <c r="I2" s="2473"/>
      <c r="J2" s="2473"/>
      <c r="K2" s="2473"/>
      <c r="L2" s="1370"/>
      <c r="M2" s="1371"/>
    </row>
    <row r="3" spans="1:13" ht="10.35" customHeight="1" x14ac:dyDescent="0.2">
      <c r="B3" s="2494" t="s">
        <v>1285</v>
      </c>
      <c r="C3" s="2494"/>
      <c r="D3" s="2494"/>
      <c r="E3" s="2494"/>
      <c r="F3" s="2494"/>
      <c r="G3" s="2494"/>
      <c r="H3" s="2494"/>
      <c r="I3" s="2494"/>
      <c r="J3" s="2494"/>
      <c r="K3" s="2494"/>
      <c r="L3" s="1955"/>
      <c r="M3" s="1955"/>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95" t="s">
        <v>1296</v>
      </c>
      <c r="C7" s="2495"/>
      <c r="D7" s="2496"/>
      <c r="E7" s="2496"/>
      <c r="F7" s="2496"/>
      <c r="G7" s="2496"/>
      <c r="H7" s="2496"/>
      <c r="I7" s="2496"/>
      <c r="J7" s="2496"/>
      <c r="K7" s="249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1988</v>
      </c>
      <c r="D10" s="1381">
        <v>3</v>
      </c>
      <c r="E10" s="322"/>
      <c r="F10" s="1382" t="s">
        <v>1295</v>
      </c>
      <c r="G10" s="1383"/>
      <c r="H10" s="1384" t="s">
        <v>1294</v>
      </c>
      <c r="I10" s="1383" t="s">
        <v>2073</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54.6" customHeight="1" x14ac:dyDescent="0.2">
      <c r="B14" s="2493" t="s">
        <v>2121</v>
      </c>
      <c r="C14" s="2493"/>
      <c r="D14" s="2493"/>
      <c r="E14" s="2493"/>
      <c r="F14" s="2493"/>
      <c r="G14" s="2493"/>
      <c r="H14" s="2493"/>
      <c r="I14" s="2493"/>
      <c r="J14" s="2493"/>
      <c r="K14" s="2493"/>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72.599999999999994" customHeight="1" x14ac:dyDescent="0.2">
      <c r="B17" s="2493" t="s">
        <v>2122</v>
      </c>
      <c r="C17" s="2493"/>
      <c r="D17" s="2493"/>
      <c r="E17" s="2493"/>
      <c r="F17" s="2493"/>
      <c r="G17" s="2493"/>
      <c r="H17" s="2493"/>
      <c r="I17" s="2493"/>
      <c r="J17" s="2493"/>
      <c r="K17" s="2493"/>
      <c r="L17" s="1376"/>
    </row>
    <row r="18" spans="2:12" ht="4.5" customHeight="1" x14ac:dyDescent="0.2">
      <c r="B18" s="1393"/>
      <c r="C18" s="1393"/>
      <c r="L18" s="1376"/>
    </row>
    <row r="19" spans="2:12" s="1279" customFormat="1" ht="13.5" customHeight="1" x14ac:dyDescent="0.2">
      <c r="B19" s="1388" t="s">
        <v>1742</v>
      </c>
      <c r="C19" s="1388"/>
      <c r="D19" s="1389"/>
      <c r="E19" s="1389"/>
      <c r="F19" s="1389"/>
      <c r="G19" s="1390"/>
      <c r="H19" s="1389"/>
      <c r="I19" s="1390"/>
      <c r="J19" s="1389"/>
      <c r="K19" s="1389"/>
      <c r="L19" s="1391"/>
    </row>
    <row r="20" spans="2:12" ht="45.75" customHeight="1" x14ac:dyDescent="0.2">
      <c r="B20" s="2497" t="s">
        <v>2123</v>
      </c>
      <c r="C20" s="2497"/>
      <c r="D20" s="2493"/>
      <c r="E20" s="2493"/>
      <c r="F20" s="2493"/>
      <c r="G20" s="2493"/>
      <c r="H20" s="2493"/>
      <c r="I20" s="2493"/>
      <c r="J20" s="2493"/>
      <c r="K20" s="2493"/>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3" t="s">
        <v>2124</v>
      </c>
      <c r="C23" s="2493"/>
      <c r="D23" s="2493"/>
      <c r="E23" s="2493"/>
      <c r="F23" s="2493"/>
      <c r="G23" s="2493"/>
      <c r="H23" s="2493"/>
      <c r="I23" s="2493"/>
      <c r="J23" s="2493"/>
      <c r="K23" s="2493"/>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3" t="s">
        <v>2125</v>
      </c>
      <c r="C26" s="2493"/>
      <c r="D26" s="2493"/>
      <c r="E26" s="2493"/>
      <c r="F26" s="2493"/>
      <c r="G26" s="2493"/>
      <c r="H26" s="2493"/>
      <c r="I26" s="2493"/>
      <c r="J26" s="2493"/>
      <c r="K26" s="2493"/>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2" t="s">
        <v>2126</v>
      </c>
      <c r="C29" s="2492"/>
      <c r="D29" s="2493"/>
      <c r="E29" s="2493"/>
      <c r="F29" s="2493"/>
      <c r="G29" s="2493"/>
      <c r="H29" s="2493"/>
      <c r="I29" s="2493"/>
      <c r="J29" s="2493"/>
      <c r="K29" s="2493"/>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58.9" customHeight="1" x14ac:dyDescent="0.2">
      <c r="B32" s="2492" t="s">
        <v>2127</v>
      </c>
      <c r="C32" s="2492"/>
      <c r="D32" s="2493"/>
      <c r="E32" s="2493"/>
      <c r="F32" s="2493"/>
      <c r="G32" s="2493"/>
      <c r="H32" s="2493"/>
      <c r="I32" s="2493"/>
      <c r="J32" s="2493"/>
      <c r="K32" s="2493"/>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7" t="s">
        <v>1840</v>
      </c>
      <c r="C36" s="1297"/>
      <c r="L36" s="1376"/>
    </row>
    <row r="37" spans="1:13" ht="9.6" customHeight="1" x14ac:dyDescent="0.2">
      <c r="B37" s="1297" t="s">
        <v>1841</v>
      </c>
      <c r="C37" s="1297"/>
    </row>
    <row r="38" spans="1:13" ht="11.85" customHeight="1" x14ac:dyDescent="0.2">
      <c r="B38" s="1402" t="s">
        <v>1745</v>
      </c>
      <c r="C38" s="1402"/>
    </row>
    <row r="39" spans="1:13" ht="9.6" customHeight="1" x14ac:dyDescent="0.2">
      <c r="B39" s="1297" t="s">
        <v>1286</v>
      </c>
      <c r="C39" s="1297"/>
      <c r="M39" s="1403"/>
    </row>
    <row r="40" spans="1:13" ht="12.6" customHeight="1" x14ac:dyDescent="0.2">
      <c r="B40" s="1402" t="s">
        <v>1746</v>
      </c>
      <c r="C40" s="1402"/>
      <c r="M40" s="1403"/>
    </row>
    <row r="41" spans="1:13" ht="9.6" customHeight="1" x14ac:dyDescent="0.2">
      <c r="B41" s="1297"/>
      <c r="C41" s="1297"/>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8" orientation="portrait" useFirstPageNumber="1" r:id="rId1"/>
  <headerFooter alignWithMargins="0">
    <oddHeader>&amp;L&amp;8Page 48&amp;R&amp;8Page 48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22" zoomScale="110" zoomScaleNormal="110" workbookViewId="0">
      <selection activeCell="B33" sqref="B3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Knox Warren Spec Ed Districts</v>
      </c>
      <c r="C1" s="2498"/>
      <c r="D1" s="2498"/>
      <c r="E1" s="2498"/>
      <c r="F1" s="2498"/>
      <c r="G1" s="2498"/>
      <c r="H1" s="2498"/>
      <c r="I1" s="2498"/>
      <c r="J1" s="2498"/>
      <c r="K1" s="2498"/>
      <c r="L1" s="1447"/>
    </row>
    <row r="2" spans="1:12" ht="12.75" customHeight="1" x14ac:dyDescent="0.2">
      <c r="B2" s="2499">
        <f>'Single Audit Cover'!E7</f>
        <v>33048801060</v>
      </c>
      <c r="C2" s="2499"/>
      <c r="D2" s="2499"/>
      <c r="E2" s="2499"/>
      <c r="F2" s="2499"/>
      <c r="G2" s="2499"/>
      <c r="H2" s="2499"/>
      <c r="I2" s="2499"/>
      <c r="J2" s="2499"/>
      <c r="K2" s="2499"/>
      <c r="L2" s="1448"/>
    </row>
    <row r="3" spans="1:12" ht="12.75" customHeight="1" x14ac:dyDescent="0.2">
      <c r="B3" s="2494" t="s">
        <v>1285</v>
      </c>
      <c r="C3" s="2494"/>
      <c r="D3" s="2494"/>
      <c r="E3" s="2494"/>
      <c r="F3" s="2494"/>
      <c r="G3" s="2494"/>
      <c r="H3" s="2494"/>
      <c r="I3" s="2494"/>
      <c r="J3" s="2494"/>
      <c r="K3" s="2494"/>
      <c r="L3" s="1955"/>
    </row>
    <row r="4" spans="1:12" ht="12.75" customHeight="1" x14ac:dyDescent="0.2">
      <c r="B4" s="2494" t="str">
        <f>'Single Audit Cover'!A4</f>
        <v>Year Ending June 30, 2019</v>
      </c>
      <c r="C4" s="2494"/>
      <c r="D4" s="2494"/>
      <c r="E4" s="2494"/>
      <c r="F4" s="2494"/>
      <c r="G4" s="2494"/>
      <c r="H4" s="2494"/>
      <c r="I4" s="2494"/>
      <c r="J4" s="2494"/>
      <c r="K4" s="2494"/>
      <c r="L4" s="1955"/>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1988</v>
      </c>
      <c r="D8" s="1450">
        <v>4</v>
      </c>
      <c r="E8" s="322"/>
      <c r="F8" s="1379" t="s">
        <v>1295</v>
      </c>
      <c r="G8" s="1451"/>
      <c r="H8" s="1452" t="s">
        <v>1307</v>
      </c>
      <c r="I8" s="1451" t="s">
        <v>2073</v>
      </c>
      <c r="J8" s="1453" t="s">
        <v>1306</v>
      </c>
      <c r="L8" s="322"/>
    </row>
    <row r="9" spans="1:12" ht="13.5" customHeight="1" x14ac:dyDescent="0.2">
      <c r="D9" s="322"/>
      <c r="E9" s="322"/>
      <c r="F9" s="322"/>
      <c r="G9" s="1378"/>
      <c r="H9" s="322"/>
      <c r="I9" s="1454" t="s">
        <v>1292</v>
      </c>
      <c r="J9" s="322"/>
      <c r="K9" s="1455">
        <v>2018</v>
      </c>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8" t="s">
        <v>2128</v>
      </c>
      <c r="G12" s="2478"/>
      <c r="H12" s="2478"/>
      <c r="I12" s="2478"/>
      <c r="J12" s="2478"/>
      <c r="K12" s="2478"/>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501" t="s">
        <v>2129</v>
      </c>
      <c r="E14" s="2501"/>
      <c r="F14" s="2501"/>
      <c r="H14" s="1457" t="s">
        <v>1303</v>
      </c>
      <c r="I14" s="2502" t="s">
        <v>2130</v>
      </c>
      <c r="J14" s="2502"/>
      <c r="K14" s="2502"/>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502" t="s">
        <v>2131</v>
      </c>
      <c r="E16" s="2502"/>
      <c r="F16" s="2502"/>
      <c r="G16" s="2502"/>
      <c r="H16" s="2502"/>
      <c r="I16" s="2502"/>
      <c r="J16" s="2502"/>
      <c r="K16" s="2502"/>
      <c r="L16" s="322"/>
    </row>
    <row r="17" spans="2:12" ht="13.5" customHeight="1" x14ac:dyDescent="0.2">
      <c r="B17" s="1382" t="s">
        <v>1301</v>
      </c>
      <c r="C17" s="1382"/>
      <c r="D17" s="2503" t="s">
        <v>2132</v>
      </c>
      <c r="E17" s="2503"/>
      <c r="F17" s="2503"/>
      <c r="G17" s="2503"/>
      <c r="H17" s="2503"/>
      <c r="I17" s="2503"/>
      <c r="J17" s="2503"/>
      <c r="K17" s="250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45" customHeight="1" x14ac:dyDescent="0.2">
      <c r="B20" s="2493" t="s">
        <v>2116</v>
      </c>
      <c r="C20" s="2493"/>
      <c r="D20" s="2493"/>
      <c r="E20" s="2493"/>
      <c r="F20" s="2493"/>
      <c r="G20" s="2493"/>
      <c r="H20" s="2493"/>
      <c r="I20" s="2493"/>
      <c r="J20" s="2493"/>
      <c r="K20" s="249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82.15" customHeight="1" x14ac:dyDescent="0.2">
      <c r="B23" s="2493" t="s">
        <v>2117</v>
      </c>
      <c r="C23" s="2493"/>
      <c r="D23" s="2493"/>
      <c r="E23" s="2493"/>
      <c r="F23" s="2493"/>
      <c r="G23" s="2493"/>
      <c r="H23" s="2493"/>
      <c r="I23" s="2493"/>
      <c r="J23" s="2493"/>
      <c r="K23" s="249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93" t="s">
        <v>2100</v>
      </c>
      <c r="C26" s="2493"/>
      <c r="D26" s="2493"/>
      <c r="E26" s="2493"/>
      <c r="F26" s="2493"/>
      <c r="G26" s="2493"/>
      <c r="H26" s="2493"/>
      <c r="I26" s="2493"/>
      <c r="J26" s="2493"/>
      <c r="K26" s="249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42.6" customHeight="1" x14ac:dyDescent="0.2">
      <c r="B29" s="2493" t="s">
        <v>2159</v>
      </c>
      <c r="C29" s="2493"/>
      <c r="D29" s="2493"/>
      <c r="E29" s="2493"/>
      <c r="F29" s="2493"/>
      <c r="G29" s="2493"/>
      <c r="H29" s="2493"/>
      <c r="I29" s="2493"/>
      <c r="J29" s="2493"/>
      <c r="K29" s="249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46.15" customHeight="1" x14ac:dyDescent="0.2">
      <c r="B32" s="2493" t="s">
        <v>2160</v>
      </c>
      <c r="C32" s="2493"/>
      <c r="D32" s="2493"/>
      <c r="E32" s="2493"/>
      <c r="F32" s="2493"/>
      <c r="G32" s="2493"/>
      <c r="H32" s="2493"/>
      <c r="I32" s="2493"/>
      <c r="J32" s="2493"/>
      <c r="K32" s="249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43.9" customHeight="1" x14ac:dyDescent="0.2">
      <c r="B35" s="2493" t="s">
        <v>2118</v>
      </c>
      <c r="C35" s="2493"/>
      <c r="D35" s="2493"/>
      <c r="E35" s="2493"/>
      <c r="F35" s="2493"/>
      <c r="G35" s="2493"/>
      <c r="H35" s="2493"/>
      <c r="I35" s="2493"/>
      <c r="J35" s="2493"/>
      <c r="K35" s="249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69" customHeight="1" x14ac:dyDescent="0.2">
      <c r="B38" s="2493" t="s">
        <v>2119</v>
      </c>
      <c r="C38" s="2493"/>
      <c r="D38" s="2493"/>
      <c r="E38" s="2493"/>
      <c r="F38" s="2493"/>
      <c r="G38" s="2493"/>
      <c r="H38" s="2493"/>
      <c r="I38" s="2493"/>
      <c r="J38" s="2493"/>
      <c r="K38" s="249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40.9" customHeight="1" x14ac:dyDescent="0.2">
      <c r="B41" s="2493" t="s">
        <v>2120</v>
      </c>
      <c r="C41" s="2493"/>
      <c r="D41" s="2493"/>
      <c r="E41" s="2493"/>
      <c r="F41" s="2493"/>
      <c r="G41" s="2493"/>
      <c r="H41" s="2493"/>
      <c r="I41" s="2493"/>
      <c r="J41" s="2493"/>
      <c r="K41" s="249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5" firstPageNumber="49" orientation="portrait" useFirstPageNumber="1" r:id="rId1"/>
  <headerFooter alignWithMargins="0">
    <oddHeader>&amp;L&amp;8Page 49&amp;R&amp;8Page 49</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H30" sqref="H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Knox Warren Spec Ed Districts</v>
      </c>
      <c r="C1" s="2498"/>
      <c r="D1" s="2498"/>
      <c r="E1" s="2498"/>
      <c r="F1" s="2498"/>
      <c r="G1" s="2498"/>
      <c r="H1" s="2498"/>
      <c r="I1" s="2498"/>
      <c r="J1" s="2498"/>
      <c r="K1" s="2498"/>
      <c r="L1" s="1447"/>
    </row>
    <row r="2" spans="1:12" ht="12.75" customHeight="1" x14ac:dyDescent="0.2">
      <c r="B2" s="2499">
        <f>'Single Audit Cover'!E7</f>
        <v>33048801060</v>
      </c>
      <c r="C2" s="2499"/>
      <c r="D2" s="2499"/>
      <c r="E2" s="2499"/>
      <c r="F2" s="2499"/>
      <c r="G2" s="2499"/>
      <c r="H2" s="2499"/>
      <c r="I2" s="2499"/>
      <c r="J2" s="2499"/>
      <c r="K2" s="2499"/>
      <c r="L2" s="1448"/>
    </row>
    <row r="3" spans="1:12" ht="12.75" customHeight="1" x14ac:dyDescent="0.2">
      <c r="B3" s="2494" t="s">
        <v>1285</v>
      </c>
      <c r="C3" s="2494"/>
      <c r="D3" s="2494"/>
      <c r="E3" s="2494"/>
      <c r="F3" s="2494"/>
      <c r="G3" s="2494"/>
      <c r="H3" s="2494"/>
      <c r="I3" s="2494"/>
      <c r="J3" s="2494"/>
      <c r="K3" s="2494"/>
      <c r="L3" s="1372"/>
    </row>
    <row r="4" spans="1:12" ht="12.75" customHeight="1" x14ac:dyDescent="0.2">
      <c r="B4" s="2494" t="str">
        <f>'Single Audit Cover'!A4</f>
        <v>Year Ending June 30, 2019</v>
      </c>
      <c r="C4" s="2494"/>
      <c r="D4" s="2494"/>
      <c r="E4" s="2494"/>
      <c r="F4" s="2494"/>
      <c r="G4" s="2494"/>
      <c r="H4" s="2494"/>
      <c r="I4" s="2494"/>
      <c r="J4" s="2494"/>
      <c r="K4" s="2494"/>
      <c r="L4" s="1372"/>
    </row>
    <row r="5" spans="1:12" ht="5.25" customHeight="1" x14ac:dyDescent="0.2">
      <c r="B5" s="1257" t="s">
        <v>1169</v>
      </c>
      <c r="C5" s="1257"/>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1988</v>
      </c>
      <c r="D8" s="1450">
        <v>5</v>
      </c>
      <c r="E8" s="322"/>
      <c r="F8" s="1379" t="s">
        <v>1295</v>
      </c>
      <c r="G8" s="1451" t="s">
        <v>2073</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8" t="s">
        <v>2133</v>
      </c>
      <c r="G12" s="2478"/>
      <c r="H12" s="2478"/>
      <c r="I12" s="2478"/>
      <c r="J12" s="2478"/>
      <c r="K12" s="2478"/>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501" t="s">
        <v>2097</v>
      </c>
      <c r="E14" s="2501"/>
      <c r="F14" s="2501"/>
      <c r="H14" s="1457" t="s">
        <v>1303</v>
      </c>
      <c r="I14" s="2502">
        <v>84.027000000000001</v>
      </c>
      <c r="J14" s="2502"/>
      <c r="K14" s="2502"/>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502" t="s">
        <v>2131</v>
      </c>
      <c r="E16" s="2502"/>
      <c r="F16" s="2502"/>
      <c r="G16" s="2502"/>
      <c r="H16" s="2502"/>
      <c r="I16" s="2502"/>
      <c r="J16" s="2502"/>
      <c r="K16" s="2502"/>
      <c r="L16" s="322"/>
    </row>
    <row r="17" spans="2:12" ht="13.5" customHeight="1" x14ac:dyDescent="0.2">
      <c r="B17" s="1382" t="s">
        <v>1301</v>
      </c>
      <c r="C17" s="1382"/>
      <c r="D17" s="2503" t="s">
        <v>2132</v>
      </c>
      <c r="E17" s="2503"/>
      <c r="F17" s="2503"/>
      <c r="G17" s="2503"/>
      <c r="H17" s="2503"/>
      <c r="I17" s="2503"/>
      <c r="J17" s="2503"/>
      <c r="K17" s="250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3" t="s">
        <v>2134</v>
      </c>
      <c r="C20" s="2493"/>
      <c r="D20" s="2493"/>
      <c r="E20" s="2493"/>
      <c r="F20" s="2493"/>
      <c r="G20" s="2493"/>
      <c r="H20" s="2493"/>
      <c r="I20" s="2493"/>
      <c r="J20" s="2493"/>
      <c r="K20" s="249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93" t="s">
        <v>2135</v>
      </c>
      <c r="C23" s="2493"/>
      <c r="D23" s="2493"/>
      <c r="E23" s="2493"/>
      <c r="F23" s="2493"/>
      <c r="G23" s="2493"/>
      <c r="H23" s="2493"/>
      <c r="I23" s="2493"/>
      <c r="J23" s="2493"/>
      <c r="K23" s="249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97">
        <v>707.47</v>
      </c>
      <c r="C26" s="2493"/>
      <c r="D26" s="2493"/>
      <c r="E26" s="2493"/>
      <c r="F26" s="2493"/>
      <c r="G26" s="2493"/>
      <c r="H26" s="2493"/>
      <c r="I26" s="2493"/>
      <c r="J26" s="2493"/>
      <c r="K26" s="249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93" t="s">
        <v>2136</v>
      </c>
      <c r="C29" s="2493"/>
      <c r="D29" s="2493"/>
      <c r="E29" s="2493"/>
      <c r="F29" s="2493"/>
      <c r="G29" s="2493"/>
      <c r="H29" s="2493"/>
      <c r="I29" s="2493"/>
      <c r="J29" s="2493"/>
      <c r="K29" s="249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3" t="s">
        <v>2137</v>
      </c>
      <c r="C32" s="2493"/>
      <c r="D32" s="2493"/>
      <c r="E32" s="2493"/>
      <c r="F32" s="2493"/>
      <c r="G32" s="2493"/>
      <c r="H32" s="2493"/>
      <c r="I32" s="2493"/>
      <c r="J32" s="2493"/>
      <c r="K32" s="249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3" t="s">
        <v>2140</v>
      </c>
      <c r="C35" s="2493"/>
      <c r="D35" s="2493"/>
      <c r="E35" s="2493"/>
      <c r="F35" s="2493"/>
      <c r="G35" s="2493"/>
      <c r="H35" s="2493"/>
      <c r="I35" s="2493"/>
      <c r="J35" s="2493"/>
      <c r="K35" s="249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3" t="s">
        <v>2138</v>
      </c>
      <c r="C38" s="2493"/>
      <c r="D38" s="2493"/>
      <c r="E38" s="2493"/>
      <c r="F38" s="2493"/>
      <c r="G38" s="2493"/>
      <c r="H38" s="2493"/>
      <c r="I38" s="2493"/>
      <c r="J38" s="2493"/>
      <c r="K38" s="249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41.45" customHeight="1" x14ac:dyDescent="0.2">
      <c r="B41" s="2493" t="s">
        <v>2139</v>
      </c>
      <c r="C41" s="2493"/>
      <c r="D41" s="2493"/>
      <c r="E41" s="2493"/>
      <c r="F41" s="2493"/>
      <c r="G41" s="2493"/>
      <c r="H41" s="2493"/>
      <c r="I41" s="2493"/>
      <c r="J41" s="2493"/>
      <c r="K41" s="249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50" orientation="portrait" useFirstPageNumber="1" r:id="rId1"/>
  <headerFooter alignWithMargins="0">
    <oddHeader>&amp;L&amp;8Page 50&amp;R&amp;8Page 50</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D22" sqref="D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1" t="str">
        <f>'Single Audit Cover'!A7</f>
        <v>Knox Warren Spec Ed Districts</v>
      </c>
      <c r="C1" s="2471"/>
      <c r="D1" s="2471"/>
      <c r="E1" s="1467"/>
    </row>
    <row r="2" spans="2:5" s="1279" customFormat="1" ht="12.75" customHeight="1" x14ac:dyDescent="0.2">
      <c r="B2" s="2473">
        <f>'Single Audit Cover'!E7</f>
        <v>33048801060</v>
      </c>
      <c r="C2" s="2473"/>
      <c r="D2" s="2473"/>
      <c r="E2" s="1468"/>
    </row>
    <row r="3" spans="2:5" ht="12.75" customHeight="1" x14ac:dyDescent="0.2">
      <c r="B3" s="2494" t="s">
        <v>1765</v>
      </c>
      <c r="C3" s="2494"/>
      <c r="D3" s="2494"/>
      <c r="E3" s="1271"/>
    </row>
    <row r="4" spans="2:5" s="1279" customFormat="1" ht="12.75" customHeight="1" x14ac:dyDescent="0.2">
      <c r="B4" s="2504" t="str">
        <f>'Single Audit Cover'!A4</f>
        <v>Year Ending June 30, 2019</v>
      </c>
      <c r="C4" s="2504"/>
      <c r="D4" s="2504"/>
      <c r="E4" s="1469"/>
    </row>
    <row r="5" spans="2:5" s="1279" customFormat="1" ht="40.15" customHeight="1" x14ac:dyDescent="0.2">
      <c r="B5" s="1470" t="s">
        <v>1766</v>
      </c>
      <c r="C5" s="328"/>
      <c r="D5" s="328"/>
      <c r="E5" s="328"/>
    </row>
    <row r="6" spans="2:5" s="1279" customFormat="1" ht="13.5" customHeight="1" x14ac:dyDescent="0.2">
      <c r="B6" s="1471" t="s">
        <v>1315</v>
      </c>
      <c r="C6" s="1471" t="s">
        <v>1314</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t="s">
        <v>2141</v>
      </c>
      <c r="C9" s="323" t="s">
        <v>2142</v>
      </c>
      <c r="D9" s="323" t="s">
        <v>2144</v>
      </c>
      <c r="E9" s="323"/>
    </row>
    <row r="10" spans="2:5" ht="13.5" customHeight="1" x14ac:dyDescent="0.2">
      <c r="B10" s="1472"/>
      <c r="C10" s="323" t="s">
        <v>2143</v>
      </c>
      <c r="D10" s="323" t="s">
        <v>2145</v>
      </c>
      <c r="E10" s="323"/>
    </row>
    <row r="11" spans="2:5" ht="13.5" customHeight="1" x14ac:dyDescent="0.2">
      <c r="B11" s="1472"/>
      <c r="C11" s="323"/>
      <c r="D11" s="323"/>
      <c r="E11" s="323"/>
    </row>
    <row r="12" spans="2:5" ht="13.5" customHeight="1" x14ac:dyDescent="0.2">
      <c r="B12" s="1472" t="s">
        <v>2146</v>
      </c>
      <c r="C12" s="323" t="s">
        <v>2147</v>
      </c>
      <c r="D12" s="323" t="s">
        <v>2144</v>
      </c>
      <c r="E12" s="323"/>
    </row>
    <row r="13" spans="2:5" ht="13.5" customHeight="1" x14ac:dyDescent="0.2">
      <c r="B13" s="1472"/>
      <c r="C13" s="323" t="s">
        <v>2148</v>
      </c>
      <c r="D13" s="323" t="s">
        <v>2150</v>
      </c>
      <c r="E13" s="323"/>
    </row>
    <row r="14" spans="2:5" ht="13.5" customHeight="1" x14ac:dyDescent="0.2">
      <c r="B14" s="1472"/>
      <c r="C14" s="323" t="s">
        <v>2149</v>
      </c>
      <c r="D14" s="323"/>
      <c r="E14" s="323"/>
    </row>
    <row r="15" spans="2:5" ht="13.5" customHeight="1" x14ac:dyDescent="0.2">
      <c r="B15" s="1472"/>
      <c r="C15" s="323"/>
      <c r="D15" s="323"/>
      <c r="E15" s="323"/>
    </row>
    <row r="16" spans="2:5" ht="13.5" customHeight="1" x14ac:dyDescent="0.2">
      <c r="B16" s="1472" t="s">
        <v>2151</v>
      </c>
      <c r="C16" s="323" t="s">
        <v>2152</v>
      </c>
      <c r="D16" s="323" t="s">
        <v>2144</v>
      </c>
      <c r="E16" s="323"/>
    </row>
    <row r="17" spans="2:5" ht="13.5" customHeight="1" x14ac:dyDescent="0.2">
      <c r="B17" s="1472"/>
      <c r="C17" s="323" t="s">
        <v>2153</v>
      </c>
      <c r="D17" s="323" t="s">
        <v>2155</v>
      </c>
      <c r="E17" s="323"/>
    </row>
    <row r="18" spans="2:5" ht="13.5" customHeight="1" x14ac:dyDescent="0.2">
      <c r="B18" s="1472"/>
      <c r="C18" s="323" t="s">
        <v>2154</v>
      </c>
      <c r="D18" s="323"/>
      <c r="E18" s="323"/>
    </row>
    <row r="19" spans="2:5" ht="13.5" customHeight="1" x14ac:dyDescent="0.2">
      <c r="B19" s="1472"/>
      <c r="C19" s="323"/>
      <c r="D19" s="323"/>
      <c r="E19" s="323"/>
    </row>
    <row r="20" spans="2:5" ht="13.5" customHeight="1" x14ac:dyDescent="0.2">
      <c r="B20" s="1472" t="s">
        <v>2156</v>
      </c>
      <c r="C20" s="323" t="s">
        <v>2147</v>
      </c>
      <c r="D20" s="323" t="s">
        <v>2144</v>
      </c>
      <c r="E20" s="323"/>
    </row>
    <row r="21" spans="2:5" ht="13.5" customHeight="1" x14ac:dyDescent="0.2">
      <c r="B21" s="1472"/>
      <c r="C21" s="323" t="s">
        <v>2148</v>
      </c>
      <c r="D21" s="323" t="s">
        <v>2157</v>
      </c>
      <c r="E21" s="323"/>
    </row>
    <row r="22" spans="2:5" ht="13.5" customHeight="1" x14ac:dyDescent="0.2">
      <c r="B22" s="1472"/>
      <c r="C22" s="323" t="s">
        <v>2149</v>
      </c>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1768</v>
      </c>
    </row>
    <row r="46" spans="2:5" ht="12.2" customHeight="1" x14ac:dyDescent="0.2">
      <c r="B46" s="1481" t="s">
        <v>1769</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51&amp;R&amp;8Page 51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0">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5056334</v>
      </c>
      <c r="E16" s="356"/>
      <c r="F16" s="1731">
        <f>SUM('Acct Summary 7-8'!C17,'Acct Summary 7-8'!D17,'Acct Summary 7-8'!F17)</f>
        <v>4707985</v>
      </c>
      <c r="G16" s="356"/>
      <c r="H16" s="1731">
        <f>SUM(D16-F16)</f>
        <v>348349</v>
      </c>
      <c r="I16" s="222"/>
      <c r="J16" s="1731">
        <f>SUM('Acct Summary 7-8'!C81,'Acct Summary 7-8'!D81,'Acct Summary 7-8'!F81,'Acct Summary 7-8'!I81)</f>
        <v>1066886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Knox Warren Spec Ed Districts</v>
      </c>
      <c r="E7" s="391"/>
      <c r="G7" s="252"/>
      <c r="H7" s="387"/>
      <c r="I7" s="387"/>
      <c r="J7" s="387"/>
      <c r="K7" s="387"/>
      <c r="L7" s="329"/>
      <c r="M7" s="329"/>
      <c r="N7" s="329"/>
      <c r="O7" s="329"/>
      <c r="P7" s="329"/>
    </row>
    <row r="8" spans="1:18" ht="12.75" x14ac:dyDescent="0.2">
      <c r="A8" s="329"/>
      <c r="B8" s="329"/>
      <c r="C8" s="389" t="s">
        <v>1125</v>
      </c>
      <c r="D8" s="392">
        <f>COVER!A13</f>
        <v>33048801060</v>
      </c>
      <c r="E8" s="393"/>
      <c r="G8" s="329"/>
      <c r="H8" s="329"/>
      <c r="I8" s="329"/>
      <c r="J8" s="329"/>
      <c r="K8" s="329"/>
      <c r="L8" s="329"/>
      <c r="M8" s="329"/>
      <c r="N8" s="329"/>
      <c r="O8" s="329"/>
      <c r="P8" s="329"/>
    </row>
    <row r="9" spans="1:18" ht="12.75" x14ac:dyDescent="0.2">
      <c r="A9" s="329"/>
      <c r="B9" s="329"/>
      <c r="C9" s="389" t="s">
        <v>713</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1066886</v>
      </c>
      <c r="I12" s="404"/>
      <c r="J12" s="404"/>
      <c r="K12" s="405">
        <f>TRUNC((H12/H13*100000),5)/100000</f>
        <v>0.2109999062</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5056334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4707985</v>
      </c>
      <c r="I17" s="404"/>
      <c r="J17" s="416"/>
      <c r="K17" s="405">
        <f>TRUNC((H17/H18*100000),5)/100000</f>
        <v>0.93110641019999996</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5056334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2294209</v>
      </c>
      <c r="I24" s="422"/>
      <c r="J24" s="422"/>
      <c r="K24" s="423">
        <f>TRUNC(((H24/H25*100000)/100000),2)</f>
        <v>175.42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13077.73611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8" zoomScaleNormal="98" workbookViewId="0">
      <pane ySplit="2" topLeftCell="A3"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7"/>
      <c r="D3" s="1558"/>
      <c r="E3" s="1558"/>
      <c r="F3" s="1558"/>
      <c r="G3" s="1558"/>
      <c r="H3" s="1558"/>
      <c r="I3" s="1558"/>
      <c r="J3" s="1558"/>
      <c r="K3" s="1558"/>
      <c r="L3" s="1558"/>
      <c r="M3" s="1559"/>
      <c r="N3" s="1560"/>
    </row>
    <row r="4" spans="1:14" ht="13.5" customHeight="1" x14ac:dyDescent="0.2">
      <c r="A4" s="463" t="s">
        <v>1651</v>
      </c>
      <c r="B4" s="464"/>
      <c r="C4" s="465">
        <v>1790141</v>
      </c>
      <c r="D4" s="466"/>
      <c r="E4" s="466"/>
      <c r="F4" s="466"/>
      <c r="G4" s="466"/>
      <c r="H4" s="466"/>
      <c r="I4" s="466"/>
      <c r="J4" s="467"/>
      <c r="K4" s="466"/>
      <c r="L4" s="466"/>
      <c r="M4" s="468"/>
      <c r="N4" s="469"/>
    </row>
    <row r="5" spans="1:14" x14ac:dyDescent="0.2">
      <c r="A5" s="463" t="s">
        <v>992</v>
      </c>
      <c r="B5" s="470">
        <v>120</v>
      </c>
      <c r="C5" s="465">
        <v>504068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644808</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2939017</v>
      </c>
      <c r="D13" s="1735">
        <f t="shared" ref="D13:L13" si="0">SUM(D4:D12)</f>
        <v>0</v>
      </c>
      <c r="E13" s="1735">
        <f t="shared" si="0"/>
        <v>0</v>
      </c>
      <c r="F13" s="1735">
        <f t="shared" si="0"/>
        <v>0</v>
      </c>
      <c r="G13" s="1735">
        <f t="shared" si="0"/>
        <v>0</v>
      </c>
      <c r="H13" s="1735">
        <f t="shared" si="0"/>
        <v>0</v>
      </c>
      <c r="I13" s="1735">
        <f t="shared" si="0"/>
        <v>0</v>
      </c>
      <c r="J13" s="1735">
        <f t="shared" si="0"/>
        <v>0</v>
      </c>
      <c r="K13" s="1735">
        <f t="shared" si="0"/>
        <v>0</v>
      </c>
      <c r="L13" s="1735">
        <f t="shared" si="0"/>
        <v>0</v>
      </c>
      <c r="M13" s="468"/>
      <c r="N13" s="469"/>
    </row>
    <row r="14" spans="1:14" ht="18" customHeight="1" thickTop="1" x14ac:dyDescent="0.2">
      <c r="A14" s="2128" t="s">
        <v>147</v>
      </c>
      <c r="B14" s="2129"/>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41546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41546</v>
      </c>
      <c r="N23" s="1686">
        <f>SUM(N21:N22)</f>
        <v>0</v>
      </c>
    </row>
    <row r="24" spans="1:14" ht="18" customHeight="1" thickTop="1" x14ac:dyDescent="0.2">
      <c r="A24" s="2130" t="s">
        <v>598</v>
      </c>
      <c r="B24" s="2131"/>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344606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518679</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1008846</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6" t="s">
        <v>654</v>
      </c>
      <c r="B34" s="1737"/>
      <c r="C34" s="1738">
        <f>SUM(C25:C33)</f>
        <v>1872131</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0</v>
      </c>
      <c r="M34" s="468"/>
      <c r="N34" s="480"/>
    </row>
    <row r="35" spans="1:14" ht="18" customHeight="1" thickTop="1" x14ac:dyDescent="0.2">
      <c r="A35" s="2132" t="s">
        <v>529</v>
      </c>
      <c r="B35" s="2133"/>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v>319614</v>
      </c>
      <c r="D38" s="466"/>
      <c r="E38" s="466"/>
      <c r="F38" s="466"/>
      <c r="G38" s="466"/>
      <c r="H38" s="466"/>
      <c r="I38" s="466"/>
      <c r="J38" s="467"/>
      <c r="K38" s="466"/>
      <c r="L38" s="481"/>
      <c r="M38" s="497"/>
      <c r="N38" s="497"/>
    </row>
    <row r="39" spans="1:14" s="329" customFormat="1" ht="13.5" customHeight="1" x14ac:dyDescent="0.2">
      <c r="A39" s="496" t="s">
        <v>342</v>
      </c>
      <c r="B39" s="483">
        <v>730</v>
      </c>
      <c r="C39" s="466">
        <f>'Acct Summary 7-8'!C81-C38</f>
        <v>747272</v>
      </c>
      <c r="D39" s="466">
        <f>'Acct Summary 7-8'!D81-D38</f>
        <v>0</v>
      </c>
      <c r="E39" s="466">
        <f>'Acct Summary 7-8'!E81-E38</f>
        <v>0</v>
      </c>
      <c r="F39" s="466">
        <f>'Acct Summary 7-8'!F81-F38</f>
        <v>0</v>
      </c>
      <c r="G39" s="466">
        <f>'Acct Summary 7-8'!G81-G38</f>
        <v>0</v>
      </c>
      <c r="H39" s="466">
        <f>'Acct Summary 7-8'!H81-H38</f>
        <v>0</v>
      </c>
      <c r="I39" s="466">
        <f>'Acct Summary 7-8'!I81-I38</f>
        <v>0</v>
      </c>
      <c r="J39" s="466">
        <f>'Acct Summary 7-8'!J81-J38</f>
        <v>0</v>
      </c>
      <c r="K39" s="466">
        <f>'Acct Summary 7-8'!K81-K38</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41546</v>
      </c>
      <c r="N40" s="497"/>
    </row>
    <row r="41" spans="1:14" ht="13.5" customHeight="1" thickBot="1" x14ac:dyDescent="0.25">
      <c r="A41" s="1734" t="s">
        <v>655</v>
      </c>
      <c r="B41" s="1704"/>
      <c r="C41" s="1686">
        <f>(SUM(C34,C37,C38,C39))</f>
        <v>2939017</v>
      </c>
      <c r="D41" s="1686">
        <f t="shared" ref="D41:L41" si="2">SUM(D34,D37,D38:D39)</f>
        <v>0</v>
      </c>
      <c r="E41" s="1686">
        <f t="shared" si="2"/>
        <v>0</v>
      </c>
      <c r="F41" s="1686">
        <f t="shared" si="2"/>
        <v>0</v>
      </c>
      <c r="G41" s="1686">
        <f t="shared" si="2"/>
        <v>0</v>
      </c>
      <c r="H41" s="1686">
        <f t="shared" si="2"/>
        <v>0</v>
      </c>
      <c r="I41" s="1686">
        <f t="shared" si="2"/>
        <v>0</v>
      </c>
      <c r="J41" s="1686">
        <f t="shared" si="2"/>
        <v>0</v>
      </c>
      <c r="K41" s="1686">
        <f t="shared" si="2"/>
        <v>0</v>
      </c>
      <c r="L41" s="1686">
        <f t="shared" si="2"/>
        <v>0</v>
      </c>
      <c r="M41" s="1686">
        <f>SUM(M40)</f>
        <v>41546</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3"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4" t="s">
        <v>1175</v>
      </c>
      <c r="B3" s="2155"/>
      <c r="C3" s="1571"/>
      <c r="D3" s="1572"/>
      <c r="E3" s="1572"/>
      <c r="F3" s="1572"/>
      <c r="G3" s="1572"/>
      <c r="H3" s="1572"/>
      <c r="I3" s="1572"/>
      <c r="J3" s="1572"/>
      <c r="K3" s="1573"/>
      <c r="L3" s="506"/>
    </row>
    <row r="4" spans="1:13" ht="15.75" customHeight="1" x14ac:dyDescent="0.2">
      <c r="A4" s="1926" t="s">
        <v>1499</v>
      </c>
      <c r="B4" s="1927">
        <v>1000</v>
      </c>
      <c r="C4" s="1740">
        <f>'Revenues 9-14'!C109</f>
        <v>2874500</v>
      </c>
      <c r="D4" s="1740">
        <f>'Revenues 9-14'!D109</f>
        <v>0</v>
      </c>
      <c r="E4" s="1740">
        <f>'Revenues 9-14'!E109</f>
        <v>0</v>
      </c>
      <c r="F4" s="1740">
        <f>'Revenues 9-14'!F109</f>
        <v>0</v>
      </c>
      <c r="G4" s="1740">
        <f>'Revenues 9-14'!G109</f>
        <v>0</v>
      </c>
      <c r="H4" s="1740">
        <f>'Revenues 9-14'!H109</f>
        <v>0</v>
      </c>
      <c r="I4" s="1740">
        <f>'Revenues 9-14'!I109</f>
        <v>0</v>
      </c>
      <c r="J4" s="1740">
        <f>'Revenues 9-14'!J109</f>
        <v>0</v>
      </c>
      <c r="K4" s="1740">
        <f>'Revenues 9-14'!K109</f>
        <v>0</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533505</v>
      </c>
      <c r="D6" s="1741">
        <f>'Revenues 9-14'!D170</f>
        <v>0</v>
      </c>
      <c r="E6" s="1741">
        <f>'Revenues 9-14'!E170</f>
        <v>0</v>
      </c>
      <c r="F6" s="1741">
        <f>'Revenues 9-14'!F170</f>
        <v>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1648329</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5056334</v>
      </c>
      <c r="D8" s="1686">
        <f t="shared" ref="D8:K8" si="0">SUM(D4:D7)</f>
        <v>0</v>
      </c>
      <c r="E8" s="1686">
        <f t="shared" si="0"/>
        <v>0</v>
      </c>
      <c r="F8" s="1686">
        <f t="shared" si="0"/>
        <v>0</v>
      </c>
      <c r="G8" s="1686">
        <f t="shared" si="0"/>
        <v>0</v>
      </c>
      <c r="H8" s="1686">
        <f t="shared" si="0"/>
        <v>0</v>
      </c>
      <c r="I8" s="1686">
        <f t="shared" si="0"/>
        <v>0</v>
      </c>
      <c r="J8" s="1686">
        <f t="shared" si="0"/>
        <v>0</v>
      </c>
      <c r="K8" s="1686">
        <f t="shared" si="0"/>
        <v>0</v>
      </c>
      <c r="L8" s="347"/>
    </row>
    <row r="9" spans="1:13" ht="15.75" thickTop="1" x14ac:dyDescent="0.2">
      <c r="A9" s="514" t="s">
        <v>1653</v>
      </c>
      <c r="B9" s="515">
        <v>3998</v>
      </c>
      <c r="C9" s="481">
        <v>3536843</v>
      </c>
      <c r="D9" s="516"/>
      <c r="E9" s="481"/>
      <c r="F9" s="481"/>
      <c r="G9" s="517"/>
      <c r="H9" s="481"/>
      <c r="I9" s="509" t="s">
        <v>1169</v>
      </c>
      <c r="J9" s="478"/>
      <c r="K9" s="481"/>
      <c r="L9" s="347"/>
    </row>
    <row r="10" spans="1:13" s="519" customFormat="1" ht="13.5" thickBot="1" x14ac:dyDescent="0.25">
      <c r="A10" s="1734" t="s">
        <v>1173</v>
      </c>
      <c r="B10" s="1707"/>
      <c r="C10" s="1686">
        <f>SUM(C8:C9)</f>
        <v>8593177</v>
      </c>
      <c r="D10" s="1686">
        <f t="shared" ref="D10:K10" si="1">SUM(D8:D9)</f>
        <v>0</v>
      </c>
      <c r="E10" s="1686">
        <f t="shared" si="1"/>
        <v>0</v>
      </c>
      <c r="F10" s="1686">
        <f t="shared" si="1"/>
        <v>0</v>
      </c>
      <c r="G10" s="1686">
        <f t="shared" si="1"/>
        <v>0</v>
      </c>
      <c r="H10" s="1686">
        <f t="shared" si="1"/>
        <v>0</v>
      </c>
      <c r="I10" s="1686">
        <f t="shared" si="1"/>
        <v>0</v>
      </c>
      <c r="J10" s="1686">
        <f t="shared" si="1"/>
        <v>0</v>
      </c>
      <c r="K10" s="1686">
        <f t="shared" si="1"/>
        <v>0</v>
      </c>
      <c r="L10" s="518"/>
    </row>
    <row r="11" spans="1:13" s="519" customFormat="1" ht="16.7" customHeight="1" thickTop="1" x14ac:dyDescent="0.2">
      <c r="A11" s="2128" t="s">
        <v>1176</v>
      </c>
      <c r="B11" s="2129"/>
      <c r="C11" s="1568"/>
      <c r="D11" s="1569"/>
      <c r="E11" s="1569"/>
      <c r="F11" s="1569"/>
      <c r="G11" s="1569"/>
      <c r="H11" s="1569"/>
      <c r="I11" s="1569"/>
      <c r="J11" s="1569"/>
      <c r="K11" s="1570"/>
      <c r="L11" s="518"/>
    </row>
    <row r="12" spans="1:13" ht="15.75" customHeight="1" x14ac:dyDescent="0.2">
      <c r="A12" s="1574" t="s">
        <v>456</v>
      </c>
      <c r="B12" s="1576">
        <v>1000</v>
      </c>
      <c r="C12" s="1740">
        <f>'Expenditures 15-22'!K33</f>
        <v>2042290</v>
      </c>
      <c r="D12" s="520" t="s">
        <v>1169</v>
      </c>
      <c r="E12" s="468" t="s">
        <v>1169</v>
      </c>
      <c r="F12" s="468" t="s">
        <v>1169</v>
      </c>
      <c r="G12" s="1740">
        <f>'Expenditures 15-22'!K229</f>
        <v>0</v>
      </c>
      <c r="H12" s="521"/>
      <c r="I12" s="468" t="s">
        <v>1169</v>
      </c>
      <c r="J12" s="468" t="s">
        <v>1169</v>
      </c>
      <c r="K12" s="521" t="s">
        <v>1169</v>
      </c>
      <c r="L12" s="347"/>
    </row>
    <row r="13" spans="1:13" ht="15.75" customHeight="1" x14ac:dyDescent="0.2">
      <c r="A13" s="1574" t="s">
        <v>457</v>
      </c>
      <c r="B13" s="1576">
        <v>2000</v>
      </c>
      <c r="C13" s="1741">
        <f>'Expenditures 15-22'!K74</f>
        <v>2661770</v>
      </c>
      <c r="D13" s="1741">
        <f>'Expenditures 15-22'!K129</f>
        <v>0</v>
      </c>
      <c r="E13" s="469" t="s">
        <v>1169</v>
      </c>
      <c r="F13" s="1741">
        <f>'Expenditures 15-22'!K184</f>
        <v>0</v>
      </c>
      <c r="G13" s="1741">
        <f>'Expenditures 15-22'!K279</f>
        <v>0</v>
      </c>
      <c r="H13" s="1741">
        <f>'Expenditures 15-22'!K303</f>
        <v>0</v>
      </c>
      <c r="I13" s="468" t="s">
        <v>1169</v>
      </c>
      <c r="J13" s="1741">
        <f>'Expenditures 15-22'!K330</f>
        <v>0</v>
      </c>
      <c r="K13" s="1745">
        <f>'Expenditures 15-22'!K352</f>
        <v>0</v>
      </c>
      <c r="L13" s="347"/>
    </row>
    <row r="14" spans="1:13" ht="15.75" customHeight="1" x14ac:dyDescent="0.2">
      <c r="A14" s="1574" t="s">
        <v>449</v>
      </c>
      <c r="B14" s="1576">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3925</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4707985</v>
      </c>
      <c r="D17" s="1686">
        <f t="shared" si="2"/>
        <v>0</v>
      </c>
      <c r="E17" s="1686">
        <f t="shared" si="2"/>
        <v>0</v>
      </c>
      <c r="F17" s="1686">
        <f t="shared" si="2"/>
        <v>0</v>
      </c>
      <c r="G17" s="1686">
        <f t="shared" si="2"/>
        <v>0</v>
      </c>
      <c r="H17" s="1686">
        <f t="shared" si="2"/>
        <v>0</v>
      </c>
      <c r="I17" s="468"/>
      <c r="J17" s="1686">
        <f>SUM(J12:J16)</f>
        <v>0</v>
      </c>
      <c r="K17" s="1686">
        <f>SUM(K12:K16)</f>
        <v>0</v>
      </c>
      <c r="L17" s="347"/>
    </row>
    <row r="18" spans="1:12" ht="15" customHeight="1" thickTop="1" x14ac:dyDescent="0.2">
      <c r="A18" s="1742" t="s">
        <v>1654</v>
      </c>
      <c r="B18" s="1743">
        <v>4180</v>
      </c>
      <c r="C18" s="1740">
        <f t="shared" ref="C18:H18" si="3">C9</f>
        <v>3536843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8244828</v>
      </c>
      <c r="D19" s="1686">
        <f t="shared" si="4"/>
        <v>0</v>
      </c>
      <c r="E19" s="1686">
        <f t="shared" si="4"/>
        <v>0</v>
      </c>
      <c r="F19" s="1686">
        <f t="shared" si="4"/>
        <v>0</v>
      </c>
      <c r="G19" s="1686">
        <f t="shared" si="4"/>
        <v>0</v>
      </c>
      <c r="H19" s="1686">
        <f t="shared" si="4"/>
        <v>0</v>
      </c>
      <c r="I19" s="468"/>
      <c r="J19" s="1686">
        <f>SUM(J17:J18)</f>
        <v>0</v>
      </c>
      <c r="K19" s="1686">
        <f>SUM(K17:K18)</f>
        <v>0</v>
      </c>
      <c r="L19" s="347"/>
    </row>
    <row r="20" spans="1:12" ht="16.5" thickTop="1" thickBot="1" x14ac:dyDescent="0.25">
      <c r="A20" s="2144" t="s">
        <v>1655</v>
      </c>
      <c r="B20" s="2145"/>
      <c r="C20" s="1744">
        <f>C8-C17</f>
        <v>348349</v>
      </c>
      <c r="D20" s="1744">
        <f t="shared" ref="D20:K20" si="5">D8-D17</f>
        <v>0</v>
      </c>
      <c r="E20" s="1744">
        <f t="shared" si="5"/>
        <v>0</v>
      </c>
      <c r="F20" s="1744">
        <f t="shared" si="5"/>
        <v>0</v>
      </c>
      <c r="G20" s="1744">
        <f t="shared" si="5"/>
        <v>0</v>
      </c>
      <c r="H20" s="1744">
        <f t="shared" si="5"/>
        <v>0</v>
      </c>
      <c r="I20" s="1744">
        <f t="shared" si="5"/>
        <v>0</v>
      </c>
      <c r="J20" s="1744">
        <f t="shared" si="5"/>
        <v>0</v>
      </c>
      <c r="K20" s="1744">
        <f t="shared" si="5"/>
        <v>0</v>
      </c>
      <c r="L20" s="347"/>
    </row>
    <row r="21" spans="1:12" ht="16.7" customHeight="1" thickTop="1" x14ac:dyDescent="0.2">
      <c r="A21" s="2156" t="s">
        <v>595</v>
      </c>
      <c r="B21" s="2157"/>
      <c r="C21" s="1568"/>
      <c r="D21" s="1569"/>
      <c r="E21" s="1569"/>
      <c r="F21" s="1569"/>
      <c r="G21" s="1569"/>
      <c r="H21" s="1569"/>
      <c r="I21" s="1569"/>
      <c r="J21" s="1569"/>
      <c r="K21" s="1570"/>
      <c r="L21" s="524"/>
    </row>
    <row r="22" spans="1:12" ht="15.75" customHeight="1" collapsed="1" x14ac:dyDescent="0.2">
      <c r="A22" s="2152" t="s">
        <v>596</v>
      </c>
      <c r="B22" s="2153"/>
      <c r="C22" s="477"/>
      <c r="D22" s="477"/>
      <c r="E22" s="477"/>
      <c r="F22" s="477"/>
      <c r="G22" s="477"/>
      <c r="H22" s="477"/>
      <c r="I22" s="477"/>
      <c r="J22" s="477"/>
      <c r="K22" s="477"/>
      <c r="L22" s="347"/>
    </row>
    <row r="23" spans="1:12" s="485" customFormat="1" ht="15.75" customHeight="1" x14ac:dyDescent="0.2">
      <c r="A23" s="2148" t="s">
        <v>293</v>
      </c>
      <c r="B23" s="2149"/>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1793</v>
      </c>
      <c r="B30" s="527">
        <v>7160</v>
      </c>
      <c r="C30" s="477"/>
      <c r="D30" s="467"/>
      <c r="E30" s="477"/>
      <c r="F30" s="477"/>
      <c r="G30" s="477"/>
      <c r="H30" s="477"/>
      <c r="I30" s="477"/>
      <c r="J30" s="477"/>
      <c r="K30" s="477"/>
      <c r="L30" s="524"/>
    </row>
    <row r="31" spans="1:12" s="485" customFormat="1" ht="26.25" x14ac:dyDescent="0.2">
      <c r="A31" s="1487" t="s">
        <v>1797</v>
      </c>
      <c r="B31" s="527">
        <v>7170</v>
      </c>
      <c r="C31" s="477"/>
      <c r="D31" s="477"/>
      <c r="E31" s="474"/>
      <c r="F31" s="477"/>
      <c r="G31" s="477"/>
      <c r="H31" s="477"/>
      <c r="I31" s="477"/>
      <c r="J31" s="477"/>
      <c r="K31" s="477"/>
      <c r="L31" s="524"/>
    </row>
    <row r="32" spans="1:12" s="485" customFormat="1" ht="15.75" customHeight="1" x14ac:dyDescent="0.2">
      <c r="A32" s="2150" t="s">
        <v>981</v>
      </c>
      <c r="B32" s="2151"/>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58" t="s">
        <v>374</v>
      </c>
      <c r="B44" s="2159"/>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52" t="s">
        <v>108</v>
      </c>
      <c r="B45" s="2153"/>
      <c r="C45" s="528"/>
      <c r="D45" s="528"/>
      <c r="E45" s="528"/>
      <c r="F45" s="528"/>
      <c r="G45" s="528"/>
      <c r="H45" s="528"/>
      <c r="I45" s="528"/>
      <c r="J45" s="528"/>
      <c r="K45" s="528"/>
      <c r="L45" s="347"/>
    </row>
    <row r="46" spans="1:12" s="485" customFormat="1" ht="15.75" customHeight="1" x14ac:dyDescent="0.2">
      <c r="A46" s="2160" t="s">
        <v>109</v>
      </c>
      <c r="B46" s="2161"/>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41">
        <f>D30</f>
        <v>0</v>
      </c>
      <c r="L52" s="524"/>
    </row>
    <row r="53" spans="1:12" s="485" customFormat="1" ht="26.25" x14ac:dyDescent="0.2">
      <c r="A53" s="1488" t="s">
        <v>1795</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34" t="s">
        <v>440</v>
      </c>
      <c r="B76" s="2135"/>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36" t="s">
        <v>1177</v>
      </c>
      <c r="B77" s="2137"/>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40" t="s">
        <v>597</v>
      </c>
      <c r="B78" s="2141"/>
      <c r="C78" s="1700">
        <f t="shared" ref="C78:K78" si="9">C20+C77</f>
        <v>348349</v>
      </c>
      <c r="D78" s="1700">
        <f t="shared" si="9"/>
        <v>0</v>
      </c>
      <c r="E78" s="1700">
        <f t="shared" si="9"/>
        <v>0</v>
      </c>
      <c r="F78" s="1700">
        <f t="shared" si="9"/>
        <v>0</v>
      </c>
      <c r="G78" s="1700">
        <f t="shared" si="9"/>
        <v>0</v>
      </c>
      <c r="H78" s="1700">
        <f t="shared" si="9"/>
        <v>0</v>
      </c>
      <c r="I78" s="1700">
        <f t="shared" si="9"/>
        <v>0</v>
      </c>
      <c r="J78" s="1700">
        <f t="shared" si="9"/>
        <v>0</v>
      </c>
      <c r="K78" s="1700">
        <f t="shared" si="9"/>
        <v>0</v>
      </c>
      <c r="L78" s="533"/>
    </row>
    <row r="79" spans="1:12" ht="13.5" thickTop="1" x14ac:dyDescent="0.2">
      <c r="A79" s="1492" t="s">
        <v>1946</v>
      </c>
      <c r="B79" s="534"/>
      <c r="C79" s="478">
        <v>718537</v>
      </c>
      <c r="D79" s="535"/>
      <c r="E79" s="535"/>
      <c r="F79" s="535"/>
      <c r="G79" s="535"/>
      <c r="H79" s="535"/>
      <c r="I79" s="535"/>
      <c r="J79" s="535"/>
      <c r="K79" s="535"/>
      <c r="L79" s="347"/>
    </row>
    <row r="80" spans="1:12" x14ac:dyDescent="0.2">
      <c r="A80" s="2146" t="s">
        <v>1794</v>
      </c>
      <c r="B80" s="2147"/>
      <c r="C80" s="467"/>
      <c r="D80" s="467"/>
      <c r="E80" s="467"/>
      <c r="F80" s="467"/>
      <c r="G80" s="467"/>
      <c r="H80" s="467"/>
      <c r="I80" s="467"/>
      <c r="J80" s="467"/>
      <c r="K80" s="467"/>
      <c r="L80" s="347"/>
    </row>
    <row r="81" spans="1:12" ht="13.5" thickBot="1" x14ac:dyDescent="0.25">
      <c r="A81" s="2138" t="s">
        <v>1947</v>
      </c>
      <c r="B81" s="2139"/>
      <c r="C81" s="1686">
        <f>(SUM(C78:C80))</f>
        <v>1066886</v>
      </c>
      <c r="D81" s="1686">
        <f>SUM(D78:D80)</f>
        <v>0</v>
      </c>
      <c r="E81" s="1686">
        <f t="shared" ref="E81:K81" si="10">SUM(E78:E80)</f>
        <v>0</v>
      </c>
      <c r="F81" s="1686">
        <f t="shared" si="10"/>
        <v>0</v>
      </c>
      <c r="G81" s="1686">
        <f t="shared" si="10"/>
        <v>0</v>
      </c>
      <c r="H81" s="1686">
        <f t="shared" si="10"/>
        <v>0</v>
      </c>
      <c r="I81" s="1686">
        <f t="shared" si="10"/>
        <v>0</v>
      </c>
      <c r="J81" s="1686">
        <f t="shared" si="10"/>
        <v>0</v>
      </c>
      <c r="K81" s="1686">
        <f t="shared" si="10"/>
        <v>0</v>
      </c>
      <c r="L81" s="347"/>
    </row>
    <row r="82" spans="1:12" ht="0.75" customHeight="1" thickTop="1" thickBot="1" x14ac:dyDescent="0.25">
      <c r="A82" s="536" t="s">
        <v>343</v>
      </c>
      <c r="B82" s="537"/>
      <c r="C82" s="538">
        <f>(C81-C79)</f>
        <v>348349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0.32651004887120089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2" t="s">
        <v>1801</v>
      </c>
      <c r="B1" s="452"/>
      <c r="C1" s="453" t="s">
        <v>425</v>
      </c>
      <c r="D1" s="453" t="s">
        <v>426</v>
      </c>
      <c r="E1" s="453" t="s">
        <v>427</v>
      </c>
      <c r="F1" s="453" t="s">
        <v>428</v>
      </c>
      <c r="G1" s="453" t="s">
        <v>429</v>
      </c>
      <c r="H1" s="453" t="s">
        <v>430</v>
      </c>
      <c r="I1" s="453" t="s">
        <v>431</v>
      </c>
      <c r="J1" s="453" t="s">
        <v>432</v>
      </c>
      <c r="K1" s="453" t="s">
        <v>756</v>
      </c>
    </row>
    <row r="2" spans="1:12" ht="36" x14ac:dyDescent="0.2">
      <c r="A2" s="214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0</v>
      </c>
      <c r="D12" s="1705">
        <f t="shared" si="0"/>
        <v>0</v>
      </c>
      <c r="E12" s="1705">
        <f t="shared" si="0"/>
        <v>0</v>
      </c>
      <c r="F12" s="1705">
        <f t="shared" si="0"/>
        <v>0</v>
      </c>
      <c r="G12" s="1705">
        <f t="shared" si="0"/>
        <v>0</v>
      </c>
      <c r="H12" s="1705">
        <f t="shared" si="0"/>
        <v>0</v>
      </c>
      <c r="I12" s="1705">
        <f t="shared" si="0"/>
        <v>0</v>
      </c>
      <c r="J12" s="1705">
        <f t="shared" si="0"/>
        <v>0</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2838468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2838468</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4068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4068</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31964</v>
      </c>
      <c r="D107" s="466"/>
      <c r="E107" s="466"/>
      <c r="F107" s="466"/>
      <c r="G107" s="466"/>
      <c r="H107" s="466"/>
      <c r="I107" s="466"/>
      <c r="J107" s="467"/>
      <c r="K107" s="466"/>
    </row>
    <row r="108" spans="1:12" ht="12.75" customHeight="1" thickBot="1" x14ac:dyDescent="0.25">
      <c r="A108" s="1706" t="s">
        <v>487</v>
      </c>
      <c r="B108" s="1710"/>
      <c r="C108" s="1705">
        <f>SUM(C95:C107)</f>
        <v>31964</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2874500</v>
      </c>
      <c r="D109" s="1713">
        <f t="shared" si="4"/>
        <v>0</v>
      </c>
      <c r="E109" s="1713">
        <f t="shared" si="4"/>
        <v>0</v>
      </c>
      <c r="F109" s="1713">
        <f t="shared" si="4"/>
        <v>0</v>
      </c>
      <c r="G109" s="1713">
        <f t="shared" si="4"/>
        <v>0</v>
      </c>
      <c r="H109" s="1713">
        <f t="shared" si="4"/>
        <v>0</v>
      </c>
      <c r="I109" s="1713">
        <f t="shared" si="4"/>
        <v>0</v>
      </c>
      <c r="J109" s="1713">
        <f t="shared" si="4"/>
        <v>0</v>
      </c>
      <c r="K109" s="1700">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468468</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8" t="s">
        <v>1933</v>
      </c>
      <c r="B120" s="562">
        <v>3030</v>
      </c>
      <c r="C120" s="551"/>
      <c r="D120" s="466"/>
      <c r="E120" s="466"/>
      <c r="F120" s="466"/>
      <c r="G120" s="466"/>
      <c r="H120" s="466"/>
      <c r="I120" s="468"/>
      <c r="J120" s="467"/>
      <c r="K120" s="466"/>
    </row>
    <row r="121" spans="1:11" x14ac:dyDescent="0.2">
      <c r="A121" s="1494" t="s">
        <v>1800</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468468</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0</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v>65037</v>
      </c>
      <c r="D168" s="580"/>
      <c r="E168" s="580"/>
      <c r="F168" s="580"/>
      <c r="G168" s="581"/>
      <c r="H168" s="582"/>
      <c r="I168" s="581"/>
      <c r="J168" s="581"/>
      <c r="K168" s="582"/>
    </row>
    <row r="169" spans="1:11" ht="12.75" customHeight="1" thickTop="1" thickBot="1" x14ac:dyDescent="0.25">
      <c r="A169" s="2162" t="s">
        <v>398</v>
      </c>
      <c r="B169" s="2163"/>
      <c r="C169" s="1720">
        <f t="shared" ref="C169:K169" si="6">SUM(C132,C141,C145,C146:C150,C155,C156:C167,C168)</f>
        <v>65037</v>
      </c>
      <c r="D169" s="1720">
        <f t="shared" si="6"/>
        <v>0</v>
      </c>
      <c r="E169" s="1720">
        <f t="shared" si="6"/>
        <v>0</v>
      </c>
      <c r="F169" s="1720">
        <f t="shared" si="6"/>
        <v>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533505</v>
      </c>
      <c r="D170" s="1713">
        <f t="shared" si="7"/>
        <v>0</v>
      </c>
      <c r="E170" s="1713">
        <f t="shared" si="7"/>
        <v>0</v>
      </c>
      <c r="F170" s="1713">
        <f t="shared" si="7"/>
        <v>0</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64" t="s">
        <v>1492</v>
      </c>
      <c r="B172" s="216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8" t="s">
        <v>1665</v>
      </c>
      <c r="B175" s="2169"/>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72" t="s">
        <v>1664</v>
      </c>
      <c r="B176" s="217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0" t="s">
        <v>785</v>
      </c>
      <c r="B181" s="2171"/>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66" t="s">
        <v>1802</v>
      </c>
      <c r="B182" s="2167"/>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0</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0</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38137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1408680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1446817</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1934</v>
      </c>
      <c r="B261" s="470">
        <v>4981</v>
      </c>
      <c r="C261" s="575"/>
      <c r="D261" s="576"/>
      <c r="E261" s="468"/>
      <c r="F261" s="576"/>
      <c r="G261" s="576"/>
      <c r="H261" s="468"/>
      <c r="I261" s="468"/>
      <c r="J261" s="468"/>
      <c r="K261" s="468"/>
    </row>
    <row r="262" spans="1:11" ht="12.75" customHeight="1" thickTop="1" thickBot="1" x14ac:dyDescent="0.25">
      <c r="A262" s="192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68315</v>
      </c>
      <c r="D263" s="576"/>
      <c r="E263" s="468"/>
      <c r="F263" s="576"/>
      <c r="G263" s="576"/>
      <c r="H263" s="468"/>
      <c r="I263" s="468"/>
      <c r="J263" s="468"/>
      <c r="K263" s="468"/>
    </row>
    <row r="264" spans="1:11" ht="12.75" customHeight="1" thickTop="1" thickBot="1" x14ac:dyDescent="0.25">
      <c r="A264" s="463" t="s">
        <v>377</v>
      </c>
      <c r="B264" s="470">
        <v>4992</v>
      </c>
      <c r="C264" s="575">
        <v>133197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1648329</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1648329</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5056334</v>
      </c>
      <c r="D268" s="1713">
        <f t="shared" si="12"/>
        <v>0</v>
      </c>
      <c r="E268" s="1713">
        <f t="shared" si="12"/>
        <v>0</v>
      </c>
      <c r="F268" s="1713">
        <f t="shared" si="12"/>
        <v>0</v>
      </c>
      <c r="G268" s="1713">
        <f t="shared" si="12"/>
        <v>0</v>
      </c>
      <c r="H268" s="1713">
        <f t="shared" si="12"/>
        <v>0</v>
      </c>
      <c r="I268" s="1713">
        <f t="shared" si="12"/>
        <v>0</v>
      </c>
      <c r="J268" s="1713">
        <f t="shared" si="12"/>
        <v>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5" zoomScaleNormal="105" workbookViewId="0">
      <pane ySplit="2" topLeftCell="A107" activePane="bottomLeft" state="frozen"/>
      <selection pane="bottomLeft" activeCell="C9" sqref="C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2"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2" t="s">
        <v>297</v>
      </c>
      <c r="B3" s="2183"/>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c r="D5" s="466"/>
      <c r="E5" s="466"/>
      <c r="F5" s="466"/>
      <c r="G5" s="466"/>
      <c r="H5" s="466"/>
      <c r="I5" s="467"/>
      <c r="J5" s="467"/>
      <c r="K5" s="1669">
        <f>SUM(C5:J5)</f>
        <v>0</v>
      </c>
      <c r="L5" s="466"/>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v>1539335</v>
      </c>
      <c r="D8" s="466">
        <v>352618</v>
      </c>
      <c r="E8" s="466">
        <v>42574</v>
      </c>
      <c r="F8" s="466">
        <v>82763</v>
      </c>
      <c r="G8" s="466"/>
      <c r="H8" s="466">
        <v>25000</v>
      </c>
      <c r="I8" s="467"/>
      <c r="J8" s="467"/>
      <c r="K8" s="1669">
        <f t="shared" si="0"/>
        <v>2042290</v>
      </c>
      <c r="L8" s="466">
        <v>2561506</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c r="D10" s="466"/>
      <c r="E10" s="466"/>
      <c r="F10" s="466"/>
      <c r="G10" s="466"/>
      <c r="H10" s="466"/>
      <c r="I10" s="467"/>
      <c r="J10" s="467"/>
      <c r="K10" s="1669">
        <f t="shared" si="0"/>
        <v>0</v>
      </c>
      <c r="L10" s="466"/>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c r="D13" s="466"/>
      <c r="E13" s="466"/>
      <c r="F13" s="466"/>
      <c r="G13" s="466"/>
      <c r="H13" s="466"/>
      <c r="I13" s="467"/>
      <c r="J13" s="467"/>
      <c r="K13" s="1669">
        <f t="shared" si="0"/>
        <v>0</v>
      </c>
      <c r="L13" s="466"/>
    </row>
    <row r="14" spans="1:14" x14ac:dyDescent="0.2">
      <c r="A14" s="1502" t="s">
        <v>963</v>
      </c>
      <c r="B14" s="614">
        <v>1500</v>
      </c>
      <c r="C14" s="466"/>
      <c r="D14" s="466"/>
      <c r="E14" s="466"/>
      <c r="F14" s="466"/>
      <c r="G14" s="466"/>
      <c r="H14" s="466"/>
      <c r="I14" s="467"/>
      <c r="J14" s="467"/>
      <c r="K14" s="1669">
        <f t="shared" si="0"/>
        <v>0</v>
      </c>
      <c r="L14" s="466"/>
    </row>
    <row r="15" spans="1:14" x14ac:dyDescent="0.2">
      <c r="A15" s="1502" t="s">
        <v>964</v>
      </c>
      <c r="B15" s="614">
        <v>1600</v>
      </c>
      <c r="C15" s="466"/>
      <c r="D15" s="466"/>
      <c r="E15" s="466"/>
      <c r="F15" s="466"/>
      <c r="G15" s="466"/>
      <c r="H15" s="466"/>
      <c r="I15" s="467"/>
      <c r="J15" s="467"/>
      <c r="K15" s="1669">
        <f t="shared" si="0"/>
        <v>0</v>
      </c>
      <c r="L15" s="466"/>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1539335</v>
      </c>
      <c r="D33" s="1668">
        <f t="shared" ref="D33:L33" si="1">SUM(D5:D32)</f>
        <v>352618</v>
      </c>
      <c r="E33" s="1668">
        <f t="shared" si="1"/>
        <v>42574</v>
      </c>
      <c r="F33" s="1668">
        <f t="shared" si="1"/>
        <v>82763</v>
      </c>
      <c r="G33" s="1668">
        <f t="shared" si="1"/>
        <v>0</v>
      </c>
      <c r="H33" s="1668">
        <f t="shared" si="1"/>
        <v>25000</v>
      </c>
      <c r="I33" s="1668">
        <f t="shared" si="1"/>
        <v>0</v>
      </c>
      <c r="J33" s="1668">
        <f t="shared" si="1"/>
        <v>0</v>
      </c>
      <c r="K33" s="1668">
        <f t="shared" si="1"/>
        <v>2042290</v>
      </c>
      <c r="L33" s="1668">
        <f t="shared" si="1"/>
        <v>2561506</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251793</v>
      </c>
      <c r="D36" s="481">
        <v>28265</v>
      </c>
      <c r="E36" s="481">
        <v>10721</v>
      </c>
      <c r="F36" s="481"/>
      <c r="G36" s="481"/>
      <c r="H36" s="481"/>
      <c r="I36" s="467"/>
      <c r="J36" s="467"/>
      <c r="K36" s="1669">
        <f t="shared" ref="K36:K41" si="2">SUM(C36:J36)</f>
        <v>290779</v>
      </c>
      <c r="L36" s="466">
        <v>302762</v>
      </c>
    </row>
    <row r="37" spans="1:14" x14ac:dyDescent="0.2">
      <c r="A37" s="1502" t="s">
        <v>1090</v>
      </c>
      <c r="B37" s="614">
        <v>2120</v>
      </c>
      <c r="C37" s="466">
        <v>25640</v>
      </c>
      <c r="D37" s="466">
        <v>10255</v>
      </c>
      <c r="E37" s="466">
        <v>5573</v>
      </c>
      <c r="F37" s="466">
        <v>162</v>
      </c>
      <c r="G37" s="466"/>
      <c r="H37" s="466"/>
      <c r="I37" s="467"/>
      <c r="J37" s="467"/>
      <c r="K37" s="1669">
        <f t="shared" si="2"/>
        <v>41630</v>
      </c>
      <c r="L37" s="466">
        <v>92910</v>
      </c>
    </row>
    <row r="38" spans="1:14" x14ac:dyDescent="0.2">
      <c r="A38" s="1502" t="s">
        <v>198</v>
      </c>
      <c r="B38" s="614">
        <v>2130</v>
      </c>
      <c r="C38" s="466">
        <v>344967</v>
      </c>
      <c r="D38" s="466">
        <v>72804</v>
      </c>
      <c r="E38" s="466">
        <v>15328</v>
      </c>
      <c r="F38" s="466"/>
      <c r="G38" s="466"/>
      <c r="H38" s="466"/>
      <c r="I38" s="467"/>
      <c r="J38" s="467"/>
      <c r="K38" s="1669">
        <f t="shared" si="2"/>
        <v>433099</v>
      </c>
      <c r="L38" s="466">
        <v>428865</v>
      </c>
    </row>
    <row r="39" spans="1:14" x14ac:dyDescent="0.2">
      <c r="A39" s="1502" t="s">
        <v>199</v>
      </c>
      <c r="B39" s="614">
        <v>2140</v>
      </c>
      <c r="C39" s="466">
        <v>232290</v>
      </c>
      <c r="D39" s="466">
        <v>31593</v>
      </c>
      <c r="E39" s="466">
        <v>7558</v>
      </c>
      <c r="F39" s="466"/>
      <c r="G39" s="466"/>
      <c r="H39" s="466"/>
      <c r="I39" s="467"/>
      <c r="J39" s="467"/>
      <c r="K39" s="1669">
        <f t="shared" si="2"/>
        <v>271441</v>
      </c>
      <c r="L39" s="466">
        <v>310731</v>
      </c>
    </row>
    <row r="40" spans="1:14" x14ac:dyDescent="0.2">
      <c r="A40" s="1502" t="s">
        <v>200</v>
      </c>
      <c r="B40" s="614">
        <v>2150</v>
      </c>
      <c r="C40" s="466">
        <v>474873</v>
      </c>
      <c r="D40" s="466">
        <v>43932</v>
      </c>
      <c r="E40" s="466">
        <v>10102</v>
      </c>
      <c r="F40" s="466">
        <v>276</v>
      </c>
      <c r="G40" s="466"/>
      <c r="H40" s="466"/>
      <c r="I40" s="467"/>
      <c r="J40" s="467"/>
      <c r="K40" s="1669">
        <f t="shared" si="2"/>
        <v>529183</v>
      </c>
      <c r="L40" s="466">
        <v>627009</v>
      </c>
    </row>
    <row r="41" spans="1:14" x14ac:dyDescent="0.2">
      <c r="A41" s="1502"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1329563</v>
      </c>
      <c r="D42" s="1668">
        <f t="shared" ref="D42:L42" si="3">SUM(D36:D41)</f>
        <v>186849</v>
      </c>
      <c r="E42" s="1668">
        <f t="shared" si="3"/>
        <v>49282</v>
      </c>
      <c r="F42" s="1668">
        <f t="shared" si="3"/>
        <v>438</v>
      </c>
      <c r="G42" s="1668">
        <f t="shared" si="3"/>
        <v>0</v>
      </c>
      <c r="H42" s="1668">
        <f t="shared" si="3"/>
        <v>0</v>
      </c>
      <c r="I42" s="1668">
        <f t="shared" si="3"/>
        <v>0</v>
      </c>
      <c r="J42" s="1668">
        <f t="shared" si="3"/>
        <v>0</v>
      </c>
      <c r="K42" s="1668">
        <f t="shared" si="3"/>
        <v>1566132</v>
      </c>
      <c r="L42" s="1668">
        <f t="shared" si="3"/>
        <v>1762277</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33661</v>
      </c>
      <c r="D44" s="481">
        <v>4719</v>
      </c>
      <c r="E44" s="481">
        <v>20513</v>
      </c>
      <c r="F44" s="481">
        <v>6957</v>
      </c>
      <c r="G44" s="481"/>
      <c r="H44" s="481"/>
      <c r="I44" s="467"/>
      <c r="J44" s="467"/>
      <c r="K44" s="1670">
        <f>SUM(C44:J44)</f>
        <v>65850</v>
      </c>
      <c r="L44" s="481">
        <v>100653</v>
      </c>
    </row>
    <row r="45" spans="1:14" x14ac:dyDescent="0.2">
      <c r="A45" s="1502" t="s">
        <v>815</v>
      </c>
      <c r="B45" s="614">
        <v>2220</v>
      </c>
      <c r="C45" s="466"/>
      <c r="D45" s="466"/>
      <c r="E45" s="466"/>
      <c r="F45" s="466"/>
      <c r="G45" s="466"/>
      <c r="H45" s="466"/>
      <c r="I45" s="467"/>
      <c r="J45" s="467"/>
      <c r="K45" s="1670">
        <f>SUM(C45:J45)</f>
        <v>0</v>
      </c>
      <c r="L45" s="466"/>
    </row>
    <row r="46" spans="1:14" x14ac:dyDescent="0.2">
      <c r="A46" s="1502" t="s">
        <v>816</v>
      </c>
      <c r="B46" s="614">
        <v>2230</v>
      </c>
      <c r="C46" s="466"/>
      <c r="D46" s="466"/>
      <c r="E46" s="466"/>
      <c r="F46" s="466">
        <v>21535</v>
      </c>
      <c r="G46" s="466"/>
      <c r="H46" s="466"/>
      <c r="I46" s="467"/>
      <c r="J46" s="467"/>
      <c r="K46" s="1670">
        <f>SUM(C46:J46)</f>
        <v>21535</v>
      </c>
      <c r="L46" s="466">
        <v>35886</v>
      </c>
    </row>
    <row r="47" spans="1:14" ht="12.75" customHeight="1" thickBot="1" x14ac:dyDescent="0.25">
      <c r="A47" s="1666" t="s">
        <v>561</v>
      </c>
      <c r="B47" s="1667" t="s">
        <v>32</v>
      </c>
      <c r="C47" s="1668">
        <f>SUM(C44:C46)</f>
        <v>33661</v>
      </c>
      <c r="D47" s="1668">
        <f t="shared" ref="D47:K47" si="4">SUM(D44:D46)</f>
        <v>4719</v>
      </c>
      <c r="E47" s="1668">
        <f t="shared" si="4"/>
        <v>20513</v>
      </c>
      <c r="F47" s="1668">
        <f t="shared" si="4"/>
        <v>28492</v>
      </c>
      <c r="G47" s="1668">
        <f t="shared" si="4"/>
        <v>0</v>
      </c>
      <c r="H47" s="1668">
        <f t="shared" si="4"/>
        <v>0</v>
      </c>
      <c r="I47" s="1668">
        <f t="shared" si="4"/>
        <v>0</v>
      </c>
      <c r="J47" s="1668">
        <f t="shared" si="4"/>
        <v>0</v>
      </c>
      <c r="K47" s="1668">
        <f t="shared" si="4"/>
        <v>87385</v>
      </c>
      <c r="L47" s="1668">
        <f>SUM(L44:L46)</f>
        <v>136539</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c r="F49" s="481"/>
      <c r="G49" s="481"/>
      <c r="H49" s="481"/>
      <c r="I49" s="467"/>
      <c r="J49" s="467"/>
      <c r="K49" s="1670">
        <f>SUM(C49:J49)</f>
        <v>0</v>
      </c>
      <c r="L49" s="481"/>
    </row>
    <row r="50" spans="1:14" x14ac:dyDescent="0.2">
      <c r="A50" s="1502" t="s">
        <v>818</v>
      </c>
      <c r="B50" s="614">
        <v>2320</v>
      </c>
      <c r="C50" s="466"/>
      <c r="D50" s="466"/>
      <c r="E50" s="466">
        <v>31491</v>
      </c>
      <c r="F50" s="466">
        <v>17693</v>
      </c>
      <c r="G50" s="466"/>
      <c r="H50" s="466">
        <v>13058</v>
      </c>
      <c r="I50" s="467">
        <v>974</v>
      </c>
      <c r="J50" s="467"/>
      <c r="K50" s="1670">
        <f>SUM(C50:J50)</f>
        <v>63216</v>
      </c>
      <c r="L50" s="466">
        <v>41420</v>
      </c>
    </row>
    <row r="51" spans="1:14" x14ac:dyDescent="0.2">
      <c r="A51" s="1502" t="s">
        <v>42</v>
      </c>
      <c r="B51" s="614">
        <v>2330</v>
      </c>
      <c r="C51" s="466">
        <v>387684</v>
      </c>
      <c r="D51" s="466">
        <v>100274</v>
      </c>
      <c r="E51" s="466">
        <v>23844</v>
      </c>
      <c r="F51" s="466">
        <v>8712</v>
      </c>
      <c r="G51" s="466"/>
      <c r="H51" s="466"/>
      <c r="I51" s="467">
        <v>11574</v>
      </c>
      <c r="J51" s="467"/>
      <c r="K51" s="1670">
        <f>SUM(C51:J51)</f>
        <v>532088</v>
      </c>
      <c r="L51" s="466">
        <v>537754</v>
      </c>
    </row>
    <row r="52" spans="1:14" ht="22.5" x14ac:dyDescent="0.2">
      <c r="A52" s="1503" t="s">
        <v>298</v>
      </c>
      <c r="B52" s="627" t="s">
        <v>366</v>
      </c>
      <c r="C52" s="474"/>
      <c r="D52" s="474"/>
      <c r="E52" s="474">
        <v>102527</v>
      </c>
      <c r="F52" s="474"/>
      <c r="G52" s="474"/>
      <c r="H52" s="474"/>
      <c r="I52" s="474"/>
      <c r="J52" s="474"/>
      <c r="K52" s="1670">
        <f>SUM(C52:J52)</f>
        <v>102527</v>
      </c>
      <c r="L52" s="474">
        <v>193304</v>
      </c>
    </row>
    <row r="53" spans="1:14" ht="12.75" customHeight="1" thickBot="1" x14ac:dyDescent="0.25">
      <c r="A53" s="1666" t="s">
        <v>717</v>
      </c>
      <c r="B53" s="1667" t="s">
        <v>33</v>
      </c>
      <c r="C53" s="1668">
        <f>SUM(C49:C52)</f>
        <v>387684</v>
      </c>
      <c r="D53" s="1668">
        <f t="shared" ref="D53:L53" si="5">SUM(D49:D52)</f>
        <v>100274</v>
      </c>
      <c r="E53" s="1668">
        <f t="shared" si="5"/>
        <v>157862</v>
      </c>
      <c r="F53" s="1668">
        <f t="shared" si="5"/>
        <v>26405</v>
      </c>
      <c r="G53" s="1668">
        <f t="shared" si="5"/>
        <v>0</v>
      </c>
      <c r="H53" s="1668">
        <f t="shared" si="5"/>
        <v>13058</v>
      </c>
      <c r="I53" s="1668">
        <f t="shared" si="5"/>
        <v>12548</v>
      </c>
      <c r="J53" s="1668">
        <f t="shared" si="5"/>
        <v>0</v>
      </c>
      <c r="K53" s="1668">
        <f t="shared" si="5"/>
        <v>697831</v>
      </c>
      <c r="L53" s="1668">
        <f t="shared" si="5"/>
        <v>772478</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c r="D55" s="481"/>
      <c r="E55" s="481"/>
      <c r="F55" s="481"/>
      <c r="G55" s="481"/>
      <c r="H55" s="481"/>
      <c r="I55" s="467"/>
      <c r="J55" s="467"/>
      <c r="K55" s="1670">
        <f>SUM(C55:J55)</f>
        <v>0</v>
      </c>
      <c r="L55" s="481"/>
    </row>
    <row r="56" spans="1:14" ht="12.75" customHeight="1" x14ac:dyDescent="0.2">
      <c r="A56" s="1506"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8">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v>7397</v>
      </c>
      <c r="F59" s="481"/>
      <c r="G59" s="481"/>
      <c r="H59" s="481"/>
      <c r="I59" s="467"/>
      <c r="J59" s="467"/>
      <c r="K59" s="1670">
        <f t="shared" ref="K59:K64" si="7">SUM(C59:J59)</f>
        <v>7397</v>
      </c>
      <c r="L59" s="481"/>
      <c r="M59" s="609"/>
      <c r="N59" s="609"/>
    </row>
    <row r="60" spans="1:14" s="343" customFormat="1" x14ac:dyDescent="0.2">
      <c r="A60" s="1502" t="s">
        <v>463</v>
      </c>
      <c r="B60" s="614">
        <v>2520</v>
      </c>
      <c r="C60" s="466"/>
      <c r="D60" s="466"/>
      <c r="E60" s="466">
        <v>2500</v>
      </c>
      <c r="F60" s="466"/>
      <c r="G60" s="466"/>
      <c r="H60" s="466"/>
      <c r="I60" s="467"/>
      <c r="J60" s="467"/>
      <c r="K60" s="1670">
        <f t="shared" si="7"/>
        <v>2500</v>
      </c>
      <c r="L60" s="466"/>
      <c r="M60" s="609"/>
      <c r="N60" s="609"/>
    </row>
    <row r="61" spans="1:14" s="343" customFormat="1" x14ac:dyDescent="0.2">
      <c r="A61" s="1502" t="s">
        <v>197</v>
      </c>
      <c r="B61" s="614">
        <v>2540</v>
      </c>
      <c r="C61" s="466"/>
      <c r="D61" s="466"/>
      <c r="E61" s="466"/>
      <c r="F61" s="466">
        <v>3767</v>
      </c>
      <c r="G61" s="466"/>
      <c r="H61" s="466">
        <v>156000</v>
      </c>
      <c r="I61" s="467">
        <v>704</v>
      </c>
      <c r="J61" s="467"/>
      <c r="K61" s="1670">
        <f t="shared" si="7"/>
        <v>160471</v>
      </c>
      <c r="L61" s="466">
        <v>93500</v>
      </c>
      <c r="M61" s="609"/>
      <c r="N61" s="609"/>
    </row>
    <row r="62" spans="1:14" s="343" customFormat="1" x14ac:dyDescent="0.2">
      <c r="A62" s="1502" t="s">
        <v>953</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c r="D63" s="466"/>
      <c r="E63" s="466"/>
      <c r="F63" s="466"/>
      <c r="G63" s="466"/>
      <c r="H63" s="466"/>
      <c r="I63" s="467"/>
      <c r="J63" s="467"/>
      <c r="K63" s="1670">
        <f t="shared" si="7"/>
        <v>0</v>
      </c>
      <c r="L63" s="466">
        <v>75000</v>
      </c>
    </row>
    <row r="64" spans="1:14" s="609" customFormat="1" x14ac:dyDescent="0.2">
      <c r="A64" s="1507" t="s">
        <v>101</v>
      </c>
      <c r="B64" s="630">
        <v>2570</v>
      </c>
      <c r="C64" s="481"/>
      <c r="D64" s="481"/>
      <c r="E64" s="481">
        <v>9348</v>
      </c>
      <c r="F64" s="481">
        <v>87</v>
      </c>
      <c r="G64" s="481">
        <v>25665</v>
      </c>
      <c r="H64" s="481"/>
      <c r="I64" s="467">
        <v>3849</v>
      </c>
      <c r="J64" s="467"/>
      <c r="K64" s="1670">
        <f t="shared" si="7"/>
        <v>38949</v>
      </c>
      <c r="L64" s="481">
        <v>49402</v>
      </c>
    </row>
    <row r="65" spans="1:14" s="343" customFormat="1" ht="12.75" customHeight="1" thickBot="1" x14ac:dyDescent="0.25">
      <c r="A65" s="1666" t="s">
        <v>719</v>
      </c>
      <c r="B65" s="1667" t="s">
        <v>35</v>
      </c>
      <c r="C65" s="1668">
        <f>SUM(C59:C64)</f>
        <v>0</v>
      </c>
      <c r="D65" s="1668">
        <f t="shared" ref="D65:L65" si="8">SUM(D59:D64)</f>
        <v>0</v>
      </c>
      <c r="E65" s="1668">
        <f t="shared" si="8"/>
        <v>19245</v>
      </c>
      <c r="F65" s="1668">
        <f t="shared" si="8"/>
        <v>3854</v>
      </c>
      <c r="G65" s="1668">
        <f t="shared" si="8"/>
        <v>25665</v>
      </c>
      <c r="H65" s="1668">
        <f t="shared" si="8"/>
        <v>156000</v>
      </c>
      <c r="I65" s="1668">
        <f t="shared" si="8"/>
        <v>4553</v>
      </c>
      <c r="J65" s="1668">
        <f t="shared" si="8"/>
        <v>0</v>
      </c>
      <c r="K65" s="1668">
        <f t="shared" si="8"/>
        <v>209317</v>
      </c>
      <c r="L65" s="1668">
        <f t="shared" si="8"/>
        <v>217902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c r="D69" s="466"/>
      <c r="E69" s="466"/>
      <c r="F69" s="466"/>
      <c r="G69" s="466"/>
      <c r="H69" s="466"/>
      <c r="I69" s="467"/>
      <c r="J69" s="467"/>
      <c r="K69" s="1670">
        <f>SUM(C69:J69)</f>
        <v>0</v>
      </c>
      <c r="L69" s="466"/>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v>6666</v>
      </c>
      <c r="F71" s="466">
        <v>9139</v>
      </c>
      <c r="G71" s="466"/>
      <c r="H71" s="466">
        <v>81000</v>
      </c>
      <c r="I71" s="467">
        <v>4300</v>
      </c>
      <c r="J71" s="467"/>
      <c r="K71" s="1670">
        <f>SUM(C71:J71)</f>
        <v>101105</v>
      </c>
      <c r="L71" s="466">
        <v>116443</v>
      </c>
      <c r="M71" s="609"/>
      <c r="N71" s="609"/>
    </row>
    <row r="72" spans="1:14" s="343" customFormat="1" ht="12.75" customHeight="1" thickBot="1" x14ac:dyDescent="0.25">
      <c r="A72" s="1666" t="s">
        <v>37</v>
      </c>
      <c r="B72" s="1673" t="s">
        <v>36</v>
      </c>
      <c r="C72" s="1668">
        <f>SUM(C67:C71)</f>
        <v>0</v>
      </c>
      <c r="D72" s="1668">
        <f t="shared" ref="D72:K72" si="9">SUM(D67:D71)</f>
        <v>0</v>
      </c>
      <c r="E72" s="1668">
        <f t="shared" si="9"/>
        <v>6666</v>
      </c>
      <c r="F72" s="1668">
        <f t="shared" si="9"/>
        <v>9139</v>
      </c>
      <c r="G72" s="1668">
        <f t="shared" si="9"/>
        <v>0</v>
      </c>
      <c r="H72" s="1668">
        <f t="shared" si="9"/>
        <v>81000</v>
      </c>
      <c r="I72" s="1668">
        <f t="shared" si="9"/>
        <v>4300</v>
      </c>
      <c r="J72" s="1668">
        <f t="shared" si="9"/>
        <v>0</v>
      </c>
      <c r="K72" s="1668">
        <f t="shared" si="9"/>
        <v>101105</v>
      </c>
      <c r="L72" s="1668">
        <f>SUM(L67:L71)</f>
        <v>116443</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1750908</v>
      </c>
      <c r="D74" s="1675">
        <f t="shared" ref="D74:K74" si="10">SUM(D42,D47,D53,D57,D65,D72,D73)</f>
        <v>291842</v>
      </c>
      <c r="E74" s="1675">
        <f t="shared" si="10"/>
        <v>253568</v>
      </c>
      <c r="F74" s="1675">
        <f t="shared" si="10"/>
        <v>68328</v>
      </c>
      <c r="G74" s="1675">
        <f t="shared" si="10"/>
        <v>25665</v>
      </c>
      <c r="H74" s="1675">
        <f t="shared" si="10"/>
        <v>250058</v>
      </c>
      <c r="I74" s="1675">
        <f t="shared" si="10"/>
        <v>21401</v>
      </c>
      <c r="J74" s="1675">
        <f t="shared" si="10"/>
        <v>0</v>
      </c>
      <c r="K74" s="1675">
        <f t="shared" si="10"/>
        <v>2661770</v>
      </c>
      <c r="L74" s="1675">
        <f>SUM(L42,L47,L53,L57,L65,L72,L73)</f>
        <v>3005639</v>
      </c>
    </row>
    <row r="75" spans="1:14" s="259" customFormat="1" ht="15.75" customHeight="1" thickTop="1" thickBot="1" x14ac:dyDescent="0.25">
      <c r="A75" s="1608" t="s">
        <v>47</v>
      </c>
      <c r="B75" s="1609" t="s">
        <v>575</v>
      </c>
      <c r="C75" s="573"/>
      <c r="D75" s="573"/>
      <c r="E75" s="573"/>
      <c r="F75" s="573"/>
      <c r="G75" s="573"/>
      <c r="H75" s="573"/>
      <c r="I75" s="531"/>
      <c r="J75" s="531"/>
      <c r="K75" s="1668">
        <f>SUM(C75:J75)</f>
        <v>0</v>
      </c>
      <c r="L75" s="576"/>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c r="F79" s="616"/>
      <c r="G79" s="616"/>
      <c r="H79" s="466">
        <v>3925</v>
      </c>
      <c r="I79" s="477"/>
      <c r="J79" s="477"/>
      <c r="K79" s="1669">
        <f t="shared" si="11"/>
        <v>3925</v>
      </c>
      <c r="L79" s="466">
        <v>14740</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0</v>
      </c>
      <c r="F84" s="616"/>
      <c r="G84" s="616"/>
      <c r="H84" s="1668">
        <f>SUM(H78:H83)</f>
        <v>3925</v>
      </c>
      <c r="I84" s="477"/>
      <c r="J84" s="477"/>
      <c r="K84" s="1668">
        <f>SUM(K78:K83)</f>
        <v>3925</v>
      </c>
      <c r="L84" s="1668">
        <f>SUM(L78:L83)</f>
        <v>14740</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0</v>
      </c>
      <c r="F102" s="616"/>
      <c r="G102" s="616"/>
      <c r="H102" s="1675">
        <f>SUM(H84,H92,H100,H101)</f>
        <v>3925</v>
      </c>
      <c r="I102" s="477"/>
      <c r="J102" s="477"/>
      <c r="K102" s="1675">
        <f>SUM(K84,K92,K100,K101)</f>
        <v>3925</v>
      </c>
      <c r="L102" s="1675">
        <f>SUM(L84,L92,L100,L101)</f>
        <v>14740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3290243</v>
      </c>
      <c r="D114" s="1668">
        <f t="shared" ref="D114:K114" si="13">SUM(D33,D74,D75,D102,D112,D113)</f>
        <v>644460</v>
      </c>
      <c r="E114" s="1668">
        <f t="shared" si="13"/>
        <v>296142</v>
      </c>
      <c r="F114" s="1668">
        <f t="shared" si="13"/>
        <v>151091</v>
      </c>
      <c r="G114" s="1668">
        <f t="shared" si="13"/>
        <v>25665</v>
      </c>
      <c r="H114" s="1668">
        <f>SUM(H33,H74,H75,H102,H112,H113)</f>
        <v>278983</v>
      </c>
      <c r="I114" s="1668">
        <f t="shared" si="13"/>
        <v>21401</v>
      </c>
      <c r="J114" s="1668">
        <f t="shared" si="13"/>
        <v>0</v>
      </c>
      <c r="K114" s="1668">
        <f t="shared" si="13"/>
        <v>4707985</v>
      </c>
      <c r="L114" s="1668">
        <f>SUM(L33,L74,L75,L102,L112,L113)</f>
        <v>5581885</v>
      </c>
    </row>
    <row r="115" spans="1:14" ht="13.5" thickTop="1" x14ac:dyDescent="0.2">
      <c r="A115" s="2174" t="s">
        <v>996</v>
      </c>
      <c r="B115" s="2175"/>
      <c r="C115" s="618"/>
      <c r="D115" s="618"/>
      <c r="E115" s="618"/>
      <c r="F115" s="618"/>
      <c r="G115" s="618"/>
      <c r="H115" s="618"/>
      <c r="I115" s="618"/>
      <c r="J115" s="618"/>
      <c r="K115" s="1682">
        <f>'Revenues 9-14'!C268-'Expenditures 15-22'!K114</f>
        <v>348349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296</v>
      </c>
      <c r="B117" s="218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c r="D124" s="466"/>
      <c r="E124" s="466"/>
      <c r="F124" s="466"/>
      <c r="G124" s="466"/>
      <c r="H124" s="466"/>
      <c r="I124" s="467"/>
      <c r="J124" s="467"/>
      <c r="K124" s="1668">
        <f>SUM(C124:J124)</f>
        <v>0</v>
      </c>
      <c r="L124" s="466"/>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0</v>
      </c>
      <c r="F127" s="1668">
        <f t="shared" si="14"/>
        <v>0</v>
      </c>
      <c r="G127" s="1668">
        <f t="shared" si="14"/>
        <v>0</v>
      </c>
      <c r="H127" s="1668">
        <f t="shared" si="14"/>
        <v>0</v>
      </c>
      <c r="I127" s="1668">
        <f t="shared" si="14"/>
        <v>0</v>
      </c>
      <c r="J127" s="1668">
        <f t="shared" si="14"/>
        <v>0</v>
      </c>
      <c r="K127" s="1668">
        <f t="shared" si="14"/>
        <v>0</v>
      </c>
      <c r="L127" s="1668">
        <f t="shared" si="14"/>
        <v>0</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0</v>
      </c>
      <c r="F129" s="1675">
        <f t="shared" si="15"/>
        <v>0</v>
      </c>
      <c r="G129" s="1675">
        <f t="shared" si="15"/>
        <v>0</v>
      </c>
      <c r="H129" s="1675">
        <f t="shared" si="15"/>
        <v>0</v>
      </c>
      <c r="I129" s="1675">
        <f t="shared" si="15"/>
        <v>0</v>
      </c>
      <c r="J129" s="1675">
        <f t="shared" si="15"/>
        <v>0</v>
      </c>
      <c r="K129" s="1675">
        <f t="shared" si="15"/>
        <v>0</v>
      </c>
      <c r="L129" s="1675">
        <f t="shared" si="15"/>
        <v>0</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1843</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91" t="s">
        <v>620</v>
      </c>
      <c r="B151" s="2171"/>
      <c r="C151" s="1668">
        <f>SUM(C129,C130,C139,C149,C150)</f>
        <v>0</v>
      </c>
      <c r="D151" s="1668">
        <f t="shared" ref="D151:K151" si="16">SUM(D129,D130,D139,D149,D150)</f>
        <v>0</v>
      </c>
      <c r="E151" s="1668">
        <f t="shared" si="16"/>
        <v>0</v>
      </c>
      <c r="F151" s="1668">
        <f t="shared" si="16"/>
        <v>0</v>
      </c>
      <c r="G151" s="1668">
        <f t="shared" si="16"/>
        <v>0</v>
      </c>
      <c r="H151" s="1668">
        <f t="shared" si="16"/>
        <v>0</v>
      </c>
      <c r="I151" s="1668">
        <f t="shared" si="16"/>
        <v>0</v>
      </c>
      <c r="J151" s="1668">
        <f t="shared" si="16"/>
        <v>0</v>
      </c>
      <c r="K151" s="1668">
        <f t="shared" si="16"/>
        <v>0</v>
      </c>
      <c r="L151" s="1668">
        <f>SUM(L129,L130,L139,L149,L150)</f>
        <v>0</v>
      </c>
    </row>
    <row r="152" spans="1:14" ht="12.75" customHeight="1" thickTop="1" x14ac:dyDescent="0.2">
      <c r="A152" s="2194" t="s">
        <v>1178</v>
      </c>
      <c r="B152" s="2195"/>
      <c r="C152" s="618"/>
      <c r="D152" s="618"/>
      <c r="E152" s="618"/>
      <c r="F152" s="618"/>
      <c r="G152" s="618"/>
      <c r="H152" s="618"/>
      <c r="I152" s="618"/>
      <c r="J152" s="616"/>
      <c r="K152" s="1682">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621</v>
      </c>
      <c r="B154" s="2181"/>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1844</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1843</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1845</v>
      </c>
      <c r="C158" s="616"/>
      <c r="D158" s="616"/>
      <c r="E158" s="616"/>
      <c r="F158" s="616"/>
      <c r="G158" s="616"/>
      <c r="H158" s="467"/>
      <c r="I158" s="616"/>
      <c r="J158" s="616"/>
      <c r="K158" s="1669">
        <f>H158</f>
        <v>0</v>
      </c>
      <c r="L158" s="467"/>
      <c r="M158" s="619"/>
      <c r="N158" s="619"/>
    </row>
    <row r="159" spans="1:14" s="620" customFormat="1" ht="12" x14ac:dyDescent="0.2">
      <c r="A159" s="1824" t="s">
        <v>1846</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1847</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1670</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74" t="s">
        <v>996</v>
      </c>
      <c r="B175" s="2175"/>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c r="F182" s="466"/>
      <c r="G182" s="466"/>
      <c r="H182" s="466"/>
      <c r="I182" s="467"/>
      <c r="J182" s="467"/>
      <c r="K182" s="1669">
        <f>SUM(C182:J182)</f>
        <v>0</v>
      </c>
      <c r="L182" s="466"/>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0</v>
      </c>
      <c r="F184" s="1675">
        <f t="shared" si="17"/>
        <v>0</v>
      </c>
      <c r="G184" s="1675">
        <f t="shared" si="17"/>
        <v>0</v>
      </c>
      <c r="H184" s="1675">
        <f t="shared" si="17"/>
        <v>0</v>
      </c>
      <c r="I184" s="1675">
        <f t="shared" si="17"/>
        <v>0</v>
      </c>
      <c r="J184" s="1675">
        <f t="shared" si="17"/>
        <v>0</v>
      </c>
      <c r="K184" s="1675">
        <f>SUM(K180,K182,K183)</f>
        <v>0</v>
      </c>
      <c r="L184" s="1675">
        <f>SUM(L180, L182:L183)</f>
        <v>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0</v>
      </c>
      <c r="D210" s="1668">
        <f>SUM(D184,D185)</f>
        <v>0</v>
      </c>
      <c r="E210" s="1668">
        <f>SUM(E184,E185,E196)</f>
        <v>0</v>
      </c>
      <c r="F210" s="1668">
        <f>SUM(F184,F185)</f>
        <v>0</v>
      </c>
      <c r="G210" s="1668">
        <f>SUM(G184,G185)</f>
        <v>0</v>
      </c>
      <c r="H210" s="1668">
        <f>SUM(H184,H185,H196,H208,H209)</f>
        <v>0</v>
      </c>
      <c r="I210" s="1668">
        <f>SUM(I184,I185)</f>
        <v>0</v>
      </c>
      <c r="J210" s="1668">
        <f>SUM(J184,J185)</f>
        <v>0</v>
      </c>
      <c r="K210" s="1669">
        <f>SUM(K184,K185,K196,K208,K209)</f>
        <v>0</v>
      </c>
      <c r="L210" s="1668">
        <f>SUM(L184,L185,L196,L208,L209)</f>
        <v>0</v>
      </c>
    </row>
    <row r="211" spans="1:14" ht="13.5" thickTop="1" x14ac:dyDescent="0.2">
      <c r="A211" s="2174" t="s">
        <v>996</v>
      </c>
      <c r="B211" s="2175"/>
      <c r="C211" s="618"/>
      <c r="D211" s="618"/>
      <c r="E211" s="618"/>
      <c r="F211" s="618"/>
      <c r="G211" s="618"/>
      <c r="H211" s="618"/>
      <c r="I211" s="616"/>
      <c r="J211" s="616"/>
      <c r="K211" s="1682">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965</v>
      </c>
      <c r="B213" s="2197"/>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c r="E215" s="616"/>
      <c r="F215" s="616"/>
      <c r="G215" s="616"/>
      <c r="H215" s="616"/>
      <c r="I215" s="616"/>
      <c r="J215" s="616"/>
      <c r="K215" s="1669">
        <f>D215</f>
        <v>0</v>
      </c>
      <c r="L215" s="466"/>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c r="E217" s="616"/>
      <c r="F217" s="616"/>
      <c r="G217" s="616"/>
      <c r="H217" s="616"/>
      <c r="I217" s="616"/>
      <c r="J217" s="616"/>
      <c r="K217" s="1669">
        <f t="shared" si="19"/>
        <v>0</v>
      </c>
      <c r="L217" s="466"/>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c r="E219" s="616"/>
      <c r="F219" s="616"/>
      <c r="G219" s="616"/>
      <c r="H219" s="616"/>
      <c r="I219" s="616"/>
      <c r="J219" s="616"/>
      <c r="K219" s="1669">
        <f t="shared" si="19"/>
        <v>0</v>
      </c>
      <c r="L219" s="466"/>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c r="E223" s="616"/>
      <c r="F223" s="616"/>
      <c r="G223" s="616"/>
      <c r="H223" s="616"/>
      <c r="I223" s="616"/>
      <c r="J223" s="616"/>
      <c r="K223" s="1669">
        <f t="shared" si="19"/>
        <v>0</v>
      </c>
      <c r="L223" s="466"/>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0</v>
      </c>
      <c r="E229" s="616"/>
      <c r="F229" s="616"/>
      <c r="G229" s="616"/>
      <c r="H229" s="616"/>
      <c r="I229" s="616"/>
      <c r="J229" s="616"/>
      <c r="K229" s="1668">
        <f>SUM(K215:K228)</f>
        <v>0</v>
      </c>
      <c r="L229" s="1668">
        <f>SUM(L215:L228)</f>
        <v>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row>
    <row r="233" spans="1:12" x14ac:dyDescent="0.2">
      <c r="A233" s="1502" t="s">
        <v>1090</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c r="E234" s="616"/>
      <c r="F234" s="616"/>
      <c r="G234" s="616"/>
      <c r="H234" s="616"/>
      <c r="I234" s="616"/>
      <c r="J234" s="616"/>
      <c r="K234" s="1669">
        <f t="shared" si="20"/>
        <v>0</v>
      </c>
      <c r="L234" s="466"/>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c r="E240" s="616"/>
      <c r="F240" s="616"/>
      <c r="G240" s="616"/>
      <c r="H240" s="616"/>
      <c r="I240" s="616"/>
      <c r="J240" s="616"/>
      <c r="K240" s="1670">
        <f>D240</f>
        <v>0</v>
      </c>
      <c r="L240" s="481"/>
    </row>
    <row r="241" spans="1:12" x14ac:dyDescent="0.2">
      <c r="A241" s="1502" t="s">
        <v>815</v>
      </c>
      <c r="B241" s="614">
        <v>2220</v>
      </c>
      <c r="C241" s="616"/>
      <c r="D241" s="466"/>
      <c r="E241" s="616"/>
      <c r="F241" s="616"/>
      <c r="G241" s="616"/>
      <c r="H241" s="616"/>
      <c r="I241" s="616"/>
      <c r="J241" s="616"/>
      <c r="K241" s="1670">
        <f>D241</f>
        <v>0</v>
      </c>
      <c r="L241" s="466"/>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row>
    <row r="246" spans="1:12" x14ac:dyDescent="0.2">
      <c r="A246" s="1502" t="s">
        <v>818</v>
      </c>
      <c r="B246" s="614">
        <v>2320</v>
      </c>
      <c r="C246" s="616"/>
      <c r="D246" s="466"/>
      <c r="E246" s="616"/>
      <c r="F246" s="616"/>
      <c r="G246" s="616"/>
      <c r="H246" s="616"/>
      <c r="I246" s="616"/>
      <c r="J246" s="616"/>
      <c r="K246" s="1670">
        <f t="shared" ref="K246:K256" si="21">D246</f>
        <v>0</v>
      </c>
      <c r="L246" s="466"/>
    </row>
    <row r="247" spans="1:12" x14ac:dyDescent="0.2">
      <c r="A247" s="1502" t="s">
        <v>819</v>
      </c>
      <c r="B247" s="614">
        <v>2330</v>
      </c>
      <c r="C247" s="616"/>
      <c r="D247" s="466"/>
      <c r="E247" s="616"/>
      <c r="F247" s="616"/>
      <c r="G247" s="616"/>
      <c r="H247" s="616"/>
      <c r="I247" s="616"/>
      <c r="J247" s="616"/>
      <c r="K247" s="1670">
        <f t="shared" si="21"/>
        <v>0</v>
      </c>
      <c r="L247" s="466"/>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1804</v>
      </c>
      <c r="B249" s="683" t="s">
        <v>282</v>
      </c>
      <c r="C249" s="616"/>
      <c r="D249" s="474"/>
      <c r="E249" s="616"/>
      <c r="F249" s="616"/>
      <c r="G249" s="616"/>
      <c r="H249" s="616"/>
      <c r="I249" s="616"/>
      <c r="J249" s="616"/>
      <c r="K249" s="1670">
        <f t="shared" si="21"/>
        <v>0</v>
      </c>
      <c r="L249" s="466"/>
    </row>
    <row r="250" spans="1:12" x14ac:dyDescent="0.2">
      <c r="A250" s="1503" t="s">
        <v>1805</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c r="E254" s="616"/>
      <c r="F254" s="616"/>
      <c r="G254" s="616"/>
      <c r="H254" s="616"/>
      <c r="I254" s="616"/>
      <c r="J254" s="616"/>
      <c r="K254" s="1670">
        <f t="shared" si="21"/>
        <v>0</v>
      </c>
      <c r="L254" s="466"/>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0</v>
      </c>
      <c r="E257" s="616"/>
      <c r="F257" s="616"/>
      <c r="G257" s="616"/>
      <c r="H257" s="616"/>
      <c r="I257" s="616"/>
      <c r="J257" s="616"/>
      <c r="K257" s="1668">
        <f>SUM(K245:K256)</f>
        <v>0</v>
      </c>
      <c r="L257" s="1668">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c r="E259" s="616"/>
      <c r="F259" s="616"/>
      <c r="G259" s="616"/>
      <c r="H259" s="616"/>
      <c r="I259" s="616"/>
      <c r="J259" s="616"/>
      <c r="K259" s="1670">
        <f>D259</f>
        <v>0</v>
      </c>
      <c r="L259" s="481"/>
    </row>
    <row r="260" spans="1:14" s="597" customFormat="1" x14ac:dyDescent="0.2">
      <c r="A260" s="1520" t="s">
        <v>1803</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c r="E264" s="616"/>
      <c r="F264" s="616"/>
      <c r="G264" s="616"/>
      <c r="H264" s="616"/>
      <c r="I264" s="616"/>
      <c r="J264" s="616"/>
      <c r="K264" s="1670">
        <f t="shared" ref="K264:K269" si="22">D264</f>
        <v>0</v>
      </c>
      <c r="L264" s="466"/>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c r="E266" s="616"/>
      <c r="F266" s="616"/>
      <c r="G266" s="616"/>
      <c r="H266" s="616"/>
      <c r="I266" s="616"/>
      <c r="J266" s="616"/>
      <c r="K266" s="1670">
        <f t="shared" si="22"/>
        <v>0</v>
      </c>
      <c r="L266" s="466"/>
    </row>
    <row r="267" spans="1:14" x14ac:dyDescent="0.2">
      <c r="A267" s="1502" t="s">
        <v>953</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c r="E268" s="616"/>
      <c r="F268" s="616"/>
      <c r="G268" s="616"/>
      <c r="H268" s="616"/>
      <c r="I268" s="616"/>
      <c r="J268" s="616"/>
      <c r="K268" s="1670">
        <f t="shared" si="22"/>
        <v>0</v>
      </c>
      <c r="L268" s="466"/>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0</v>
      </c>
      <c r="E270" s="616"/>
      <c r="F270" s="616"/>
      <c r="G270" s="616"/>
      <c r="H270" s="616"/>
      <c r="I270" s="616"/>
      <c r="J270" s="616"/>
      <c r="K270" s="1668">
        <f>SUM(K263:K269)</f>
        <v>0</v>
      </c>
      <c r="L270" s="1668">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c r="E274" s="616"/>
      <c r="F274" s="616"/>
      <c r="G274" s="616"/>
      <c r="H274" s="616"/>
      <c r="I274" s="616"/>
      <c r="J274" s="616"/>
      <c r="K274" s="1670">
        <f>D274</f>
        <v>0</v>
      </c>
      <c r="L274" s="466"/>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0</v>
      </c>
      <c r="E279" s="616"/>
      <c r="F279" s="616"/>
      <c r="G279" s="616"/>
      <c r="H279" s="616"/>
      <c r="I279" s="616"/>
      <c r="J279" s="616"/>
      <c r="K279" s="1675">
        <f>SUM(K238,K243,K257,K261,K270,K277,K278)</f>
        <v>0</v>
      </c>
      <c r="L279" s="1675">
        <f>SUM(L238,L243,L257,L261,L270,L277,L278)</f>
        <v>0</v>
      </c>
    </row>
    <row r="280" spans="1:12" ht="15.75" customHeight="1" thickTop="1" thickBot="1" x14ac:dyDescent="0.25">
      <c r="A280" s="1622" t="s">
        <v>875</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1843</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92" t="s">
        <v>505</v>
      </c>
      <c r="B295" s="2193"/>
      <c r="C295" s="616"/>
      <c r="D295" s="1668">
        <f>SUM(D229,D279,D280,D285)</f>
        <v>0</v>
      </c>
      <c r="E295" s="616"/>
      <c r="F295" s="616"/>
      <c r="G295" s="616"/>
      <c r="H295" s="1668">
        <f>H293</f>
        <v>0</v>
      </c>
      <c r="I295" s="616"/>
      <c r="J295" s="616"/>
      <c r="K295" s="1668">
        <f>SUM(K229,K279,K280,K285,K293,K294)</f>
        <v>0</v>
      </c>
      <c r="L295" s="1668">
        <f>SUM(L229,L279,L280,L285,L293,L294)</f>
        <v>0</v>
      </c>
    </row>
    <row r="296" spans="1:14" ht="13.5" thickTop="1" x14ac:dyDescent="0.2">
      <c r="A296" s="2174" t="s">
        <v>996</v>
      </c>
      <c r="B296" s="2175"/>
      <c r="C296" s="616"/>
      <c r="D296" s="618"/>
      <c r="E296" s="616"/>
      <c r="F296" s="616"/>
      <c r="G296" s="616"/>
      <c r="H296" s="687"/>
      <c r="I296" s="616"/>
      <c r="J296" s="616"/>
      <c r="K296" s="168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143</v>
      </c>
      <c r="B298" s="2178"/>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1848</v>
      </c>
      <c r="B306" s="690" t="s">
        <v>1843</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89" t="s">
        <v>277</v>
      </c>
      <c r="B312" s="2190"/>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85" t="s">
        <v>996</v>
      </c>
      <c r="B313" s="2186"/>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149</v>
      </c>
      <c r="B315" s="2199"/>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898</v>
      </c>
      <c r="B317" s="2199"/>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1804</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1849</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1843</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1845</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1850</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SUM(L330,L334,L340,L341)</f>
        <v>0</v>
      </c>
    </row>
    <row r="343" spans="1:14" ht="12.75" customHeight="1" thickTop="1" x14ac:dyDescent="0.2">
      <c r="A343" s="2187" t="s">
        <v>996</v>
      </c>
      <c r="B343" s="2188"/>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966</v>
      </c>
      <c r="B345" s="2178"/>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1851</v>
      </c>
      <c r="B354" s="683" t="s">
        <v>1843</v>
      </c>
      <c r="C354" s="616"/>
      <c r="D354" s="616"/>
      <c r="E354" s="616"/>
      <c r="F354" s="616"/>
      <c r="G354" s="616"/>
      <c r="H354" s="474"/>
      <c r="I354" s="701"/>
      <c r="J354" s="616"/>
      <c r="K354" s="1697">
        <f>H354</f>
        <v>0</v>
      </c>
      <c r="L354" s="471"/>
    </row>
    <row r="355" spans="1:14" ht="12.75" customHeight="1" x14ac:dyDescent="0.2">
      <c r="A355" s="1511" t="s">
        <v>1852</v>
      </c>
      <c r="B355" s="690" t="s">
        <v>1845</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74" t="s">
        <v>996</v>
      </c>
      <c r="B368" s="2175"/>
      <c r="C368" s="654"/>
      <c r="D368" s="654"/>
      <c r="E368" s="626"/>
      <c r="F368" s="626"/>
      <c r="G368" s="626"/>
      <c r="H368" s="626"/>
      <c r="I368" s="626"/>
      <c r="J368" s="623"/>
      <c r="K368" s="1669">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purl.org/dc/dcmitype/"/>
    <ds:schemaRef ds:uri="6ce3111e-7420-4802-b50a-75d4e9a0b980"/>
    <ds:schemaRef ds:uri="http://schemas.microsoft.com/office/2006/documentManagement/types"/>
    <ds:schemaRef ds:uri="http://schemas.microsoft.com/office/infopath/2007/PartnerControls"/>
    <ds:schemaRef ds:uri="d21dc803-237d-4c68-8692-8d731fd29118"/>
    <ds:schemaRef ds:uri="http://schemas.openxmlformats.org/package/2006/metadata/core-properties"/>
    <ds:schemaRef ds:uri="4d435f69-8686-490b-bd6d-b153bf22ab50"/>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(3)</vt:lpstr>
      <vt:lpstr>SEFA NOTES</vt:lpstr>
      <vt:lpstr>SF&amp;QC Sec-1</vt:lpstr>
      <vt:lpstr>SF&amp;QC Sec-2</vt:lpstr>
      <vt:lpstr>SF&amp;QC Sec-2 (2)</vt:lpstr>
      <vt:lpstr>SF&amp;QC Sec-2 (3)</vt:lpstr>
      <vt:lpstr>SF&amp;QC Sec-3 (2)</vt:lpstr>
      <vt:lpstr>SF&amp;QC Sec-3</vt:lpstr>
      <vt:lpstr>SSPAF</vt:lpstr>
      <vt:lpstr>' SEFA'!Print_Area</vt:lpstr>
      <vt:lpstr>' SEFA (3)'!Print_Area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2019-11-20T16:33:03Z</cp:lastPrinted>
  <dcterms:created xsi:type="dcterms:W3CDTF">2003-10-29T19:06:34Z</dcterms:created>
  <dcterms:modified xsi:type="dcterms:W3CDTF">2019-12-27T21:47:59Z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