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94D9A7C-6CB2-490A-AA51-2DE2F813CF1F}" xr6:coauthVersionLast="36" xr6:coauthVersionMax="36" xr10:uidLastSave="{00000000-0000-0000-0000-000000000000}"/>
  <bookViews>
    <workbookView xWindow="0" yWindow="0" windowWidth="23040" windowHeight="90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31'!$A$1:$F$54</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6833" i="106" s="1"/>
  <c r="D6833" i="106" s="1"/>
  <c r="B7761" i="106"/>
  <c r="D7761" i="106" s="1"/>
  <c r="L127" i="29"/>
  <c r="L129" i="29" s="1"/>
  <c r="L139" i="29"/>
  <c r="L149" i="29"/>
  <c r="I7" i="145"/>
  <c r="I6" i="145"/>
  <c r="D82" i="36"/>
  <c r="D78" i="36"/>
  <c r="K75" i="29"/>
  <c r="K130" i="29"/>
  <c r="B2805" i="106" s="1"/>
  <c r="D2805" i="106" s="1"/>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B6999" i="106" s="1"/>
  <c r="D6999" i="106" s="1"/>
  <c r="K95" i="29"/>
  <c r="K96" i="29"/>
  <c r="B7003" i="106" s="1"/>
  <c r="D7003" i="106" s="1"/>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E27" i="108"/>
  <c r="G27" i="108"/>
  <c r="F28" i="108"/>
  <c r="F36" i="108"/>
  <c r="G28" i="108"/>
  <c r="G29" i="108"/>
  <c r="G30" i="108"/>
  <c r="D36" i="108"/>
  <c r="E31" i="108"/>
  <c r="G31" i="108"/>
  <c r="E33" i="108"/>
  <c r="G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L5" i="11"/>
  <c r="B2056" i="106" s="1"/>
  <c r="D2056" i="106" s="1"/>
  <c r="B5752" i="106"/>
  <c r="D5752" i="106" s="1"/>
  <c r="B1308" i="106" l="1"/>
  <c r="D1308" i="106" s="1"/>
  <c r="E174" i="29"/>
  <c r="B1309" i="106" s="1"/>
  <c r="D1309" i="106" s="1"/>
  <c r="D17" i="7"/>
  <c r="B4104" i="106" s="1"/>
  <c r="D4104" i="106" s="1"/>
  <c r="D9" i="7"/>
  <c r="B1767" i="106" s="1"/>
  <c r="D1767" i="106" s="1"/>
  <c r="D24" i="37"/>
  <c r="B4270" i="106" s="1"/>
  <c r="D4270" i="106" s="1"/>
  <c r="K28" i="118"/>
  <c r="O27" i="118" s="1"/>
  <c r="O29" i="118" s="1"/>
  <c r="L342" i="29"/>
  <c r="B7727" i="106"/>
  <c r="D7727" i="106" s="1"/>
  <c r="F36" i="34"/>
  <c r="G38" i="108"/>
  <c r="D37" i="108"/>
  <c r="D31" i="108"/>
  <c r="D41" i="108" s="1"/>
  <c r="E43" i="108" s="1"/>
  <c r="E30" i="108"/>
  <c r="E29" i="108"/>
  <c r="F37" i="108"/>
  <c r="E28" i="108"/>
  <c r="D69" i="36"/>
  <c r="D54" i="36"/>
  <c r="D7245" i="106"/>
  <c r="B7047" i="106"/>
  <c r="D7047" i="106" s="1"/>
  <c r="B6995" i="106"/>
  <c r="D6995" i="106" s="1"/>
  <c r="D6103" i="106"/>
  <c r="B3647" i="106"/>
  <c r="D3647" i="106" s="1"/>
  <c r="K76" i="4"/>
  <c r="B3586" i="106" s="1"/>
  <c r="D3586" i="106" s="1"/>
  <c r="I24" i="12"/>
  <c r="B1274" i="106"/>
  <c r="D1274" i="106" s="1"/>
  <c r="B1124" i="106"/>
  <c r="D1124" i="106" s="1"/>
  <c r="G15" i="145"/>
  <c r="F27" i="108"/>
  <c r="F41" i="108" s="1"/>
  <c r="G43" i="108"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66" i="5"/>
  <c r="J24" i="12"/>
  <c r="B7730" i="106"/>
  <c r="D7730" i="106" s="1"/>
  <c r="B3447" i="106"/>
  <c r="D3447" i="106" s="1"/>
  <c r="B7270" i="106"/>
  <c r="B5778" i="106" l="1"/>
  <c r="D5778" i="106" s="1"/>
  <c r="G6" i="4"/>
  <c r="B2604" i="106" s="1"/>
  <c r="D2604" i="106" s="1"/>
  <c r="K77" i="4"/>
  <c r="B3587" i="106" s="1"/>
  <c r="D3587" i="106" s="1"/>
  <c r="B1317" i="106"/>
  <c r="D1317" i="106" s="1"/>
  <c r="D7255" i="106"/>
  <c r="D7253" i="106"/>
  <c r="D7252" i="106"/>
  <c r="B1996" i="106"/>
  <c r="D1996" i="106" s="1"/>
  <c r="I26" i="12"/>
  <c r="B7741" i="106" s="1"/>
  <c r="D7741" i="106" s="1"/>
  <c r="L16" i="11"/>
  <c r="B2061" i="106" s="1"/>
  <c r="D2061" i="106" s="1"/>
  <c r="C114" i="29"/>
  <c r="B757" i="106" s="1"/>
  <c r="D757" i="106" s="1"/>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6215" i="106" l="1"/>
  <c r="D6215" i="106" s="1"/>
  <c r="J41" i="3"/>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B6216" i="106"/>
  <c r="D6216" i="106" s="1"/>
  <c r="D51" i="36"/>
  <c r="B2912" i="106"/>
  <c r="D2912" i="106" s="1"/>
  <c r="I41" i="3"/>
  <c r="B212" i="106"/>
  <c r="D212" i="106" s="1"/>
  <c r="H41" i="3"/>
  <c r="B123" i="106"/>
  <c r="D123" i="106" s="1"/>
  <c r="D41" i="3"/>
  <c r="B3278" i="106"/>
  <c r="D3278" i="106" s="1"/>
  <c r="E81" i="4"/>
  <c r="E39" i="3" s="1"/>
  <c r="B3233" i="106"/>
  <c r="D3233" i="106" s="1"/>
  <c r="C81" i="4"/>
  <c r="C39" i="3" s="1"/>
  <c r="A7263" i="106"/>
  <c r="D7262" i="106"/>
  <c r="B1700" i="106"/>
  <c r="D1700" i="106" s="1"/>
  <c r="H82" i="4"/>
  <c r="D62" i="36"/>
  <c r="J20" i="118"/>
  <c r="O16" i="118"/>
  <c r="K20" i="118"/>
  <c r="F81" i="4"/>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D50" i="36"/>
  <c r="B2913" i="106"/>
  <c r="D2913" i="106" s="1"/>
  <c r="B213" i="106"/>
  <c r="D213" i="106" s="1"/>
  <c r="D49" i="36"/>
  <c r="B189" i="106"/>
  <c r="D189" i="106" s="1"/>
  <c r="G41" i="3"/>
  <c r="J16" i="37"/>
  <c r="B4269" i="106" s="1"/>
  <c r="D4269" i="106" s="1"/>
  <c r="F39" i="3"/>
  <c r="D76" i="36" s="1"/>
  <c r="B140" i="106"/>
  <c r="D140" i="106" s="1"/>
  <c r="E41" i="3"/>
  <c r="B124" i="106"/>
  <c r="D124" i="106" s="1"/>
  <c r="D45" i="36"/>
  <c r="B92" i="106"/>
  <c r="D92" i="106" s="1"/>
  <c r="C41" i="3"/>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c r="D6268" i="106" s="1"/>
  <c r="D83" i="4"/>
  <c r="B6277" i="106" s="1"/>
  <c r="D6277" i="106" s="1"/>
  <c r="D60" i="36" l="1"/>
  <c r="B190" i="106"/>
  <c r="D190" i="106" s="1"/>
  <c r="D48" i="36"/>
  <c r="B170" i="106"/>
  <c r="D170" i="106" s="1"/>
  <c r="F41" i="3"/>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71" i="106" l="1"/>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<sst xmlns="http://schemas.openxmlformats.org/spreadsheetml/2006/main" count="5062" uniqueCount="2093">
  <si>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</si>
  <si>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</si>
  <si>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</si>
  <si>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</si>
  <si>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</si>
  <si>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</si>
  <si>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</si>
  <si>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</si>
  <si>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</si>
  <si>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</si>
  <si>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</si>
  <si>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</si>
  <si>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</si>
  <si>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</si>
  <si>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</si>
  <si>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</si>
  <si>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</si>
  <si>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</si>
  <si>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</si>
  <si>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</si>
  <si>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</si>
  <si>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</si>
  <si>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</si>
  <si>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</si>
  <si>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</si>
  <si>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</si>
  <si>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</si>
  <si>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</si>
  <si>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</si>
  <si>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</si>
  <si>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</si>
  <si>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</si>
  <si>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</si>
  <si>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</si>
  <si>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</si>
  <si>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</si>
  <si>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</si>
  <si>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</si>
  <si>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</si>
  <si>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</si>
  <si>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</si>
  <si>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</si>
  <si>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</si>
  <si>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</si>
  <si>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</si>
  <si>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</si>
  <si>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</si>
  <si>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</si>
  <si>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</si>
  <si>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</si>
  <si>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</si>
  <si>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</si>
  <si>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</si>
  <si>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</si>
  <si>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</si>
  <si>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</si>
  <si>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</si>
  <si>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</si>
  <si>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</si>
  <si>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</si>
  <si>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</si>
  <si>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</si>
  <si>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</si>
  <si>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</si>
  <si>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</si>
  <si>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</si>
  <si>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</si>
  <si>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</si>
  <si>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</si>
  <si>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</si>
  <si>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</si>
  <si>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</si>
  <si>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</si>
  <si>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</si>
  <si>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</si>
  <si>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</si>
  <si>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</si>
  <si>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</si>
  <si>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</si>
  <si>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</si>
  <si>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</si>
  <si>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</si>
  <si>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</si>
  <si>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</si>
  <si>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</si>
  <si>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</si>
  <si>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</si>
  <si>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</si>
  <si>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</si>
  <si>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</si>
  <si>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</si>
  <si>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</si>
  <si>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</si>
  <si>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</si>
  <si>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</si>
  <si>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</si>
  <si>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</si>
  <si>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</si>
  <si>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</si>
  <si>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</si>
  <si>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</si>
  <si>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</si>
  <si>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</si>
  <si>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</si>
  <si>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</si>
  <si>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</si>
  <si>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</si>
  <si>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</si>
  <si>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</si>
  <si>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</si>
  <si>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</si>
  <si>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</si>
  <si>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</si>
  <si>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</si>
  <si>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</si>
  <si>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</si>
  <si>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</si>
  <si>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</si>
  <si>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</si>
  <si>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</si>
  <si>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</si>
  <si>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</si>
  <si>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</si>
  <si>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</si>
  <si>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</si>
  <si>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</si>
  <si>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</si>
  <si>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</si>
  <si>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</si>
  <si>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</si>
  <si>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</si>
  <si>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</si>
  <si>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</si>
  <si>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</si>
  <si>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</si>
  <si>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</si>
  <si>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</si>
  <si>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</si>
  <si>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</si>
  <si>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</si>
  <si>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</si>
  <si>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</si>
  <si>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</si>
  <si>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</si>
  <si>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</si>
  <si>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</si>
  <si>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</si>
  <si>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</si>
  <si>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</si>
  <si>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</si>
  <si>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</si>
  <si>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</si>
  <si>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</si>
  <si>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</si>
  <si>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</si>
  <si>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</si>
  <si>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</si>
  <si>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</si>
  <si>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</si>
  <si>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</si>
  <si>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</si>
  <si>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</si>
  <si>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</si>
  <si>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</si>
  <si>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</si>
  <si>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</si>
  <si>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</si>
  <si>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</si>
  <si>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</si>
  <si>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</si>
  <si>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</si>
  <si>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</si>
  <si>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</si>
  <si>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</si>
  <si>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</si>
  <si>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</si>
  <si>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</si>
  <si>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</si>
  <si>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</si>
  <si>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</si>
  <si>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</si>
  <si>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</si>
  <si>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</si>
  <si>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</si>
  <si>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</si>
  <si>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</si>
  <si>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</si>
  <si>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</si>
  <si>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</si>
  <si>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</si>
  <si>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</si>
  <si>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</si>
  <si>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</si>
  <si>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</si>
  <si>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</si>
  <si>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</si>
  <si>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</si>
  <si>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</si>
  <si>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</si>
  <si>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</si>
  <si>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</si>
  <si>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</si>
  <si>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</si>
  <si>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</si>
  <si>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</si>
  <si>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</si>
  <si>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</si>
  <si>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</si>
  <si>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</si>
  <si>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</si>
  <si>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</si>
  <si>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</si>
  <si>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</si>
  <si>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</si>
  <si>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</si>
  <si>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</si>
  <si>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</si>
  <si>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</si>
  <si>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</si>
  <si>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</si>
  <si>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</si>
  <si>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</si>
  <si>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</si>
  <si>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</si>
  <si>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</si>
  <si>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</si>
  <si>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</si>
  <si>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</si>
  <si>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</si>
  <si>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</si>
  <si>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</si>
  <si>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</si>
  <si>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</si>
  <si>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</si>
  <si>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</si>
  <si>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</si>
  <si>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</si>
  <si>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</si>
  <si>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</si>
  <si>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</si>
  <si>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</si>
  <si>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</si>
  <si>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</si>
  <si>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</si>
  <si>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</si>
  <si>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</si>
  <si>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</si>
  <si>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</si>
  <si>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</si>
  <si>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</si>
  <si>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</si>
  <si>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</si>
  <si>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</si>
  <si>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</si>
  <si>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</si>
  <si>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</si>
  <si>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</si>
  <si>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</si>
  <si>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</si>
  <si>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</si>
  <si>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</si>
  <si>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</si>
  <si>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</si>
  <si>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</si>
  <si>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</si>
  <si>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</si>
  <si>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</si>
  <si>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</si>
  <si>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</si>
  <si>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</si>
  <si>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</si>
  <si>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</si>
  <si>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</si>
  <si>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</si>
  <si>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</si>
  <si>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</si>
  <si>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</si>
  <si>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</si>
  <si>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</si>
  <si>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</si>
  <si>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</si>
  <si>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</si>
  <si>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</si>
  <si>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</si>
  <si>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</si>
  <si>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</si>
  <si>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</si>
  <si>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</si>
  <si>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</si>
  <si>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</si>
  <si>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</si>
  <si>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</si>
  <si>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</si>
  <si>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</si>
  <si>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</si>
  <si>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</si>
  <si>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</si>
  <si>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</si>
  <si>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</si>
  <si>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</si>
  <si>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</si>
  <si>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</si>
  <si>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</si>
  <si>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</si>
  <si>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</si>
  <si>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</si>
  <si>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</si>
  <si>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</si>
  <si>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</si>
  <si>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</si>
  <si>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</si>
  <si>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</si>
  <si>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</si>
  <si>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</si>
  <si>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</si>
  <si>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</si>
  <si>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</si>
  <si>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</si>
  <si>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</si>
  <si>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</si>
  <si>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</si>
  <si>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</si>
  <si>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</si>
  <si>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</si>
  <si>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</si>
  <si>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</si>
  <si>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</si>
  <si>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</si>
  <si>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</si>
  <si>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</si>
  <si>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</si>
  <si>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</si>
  <si>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</si>
  <si>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</si>
  <si>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</si>
  <si>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</si>
  <si>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</si>
  <si>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</si>
  <si>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</si>
  <si>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</si>
  <si>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</si>
  <si>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</si>
  <si>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</si>
  <si>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</si>
  <si>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</si>
  <si>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</si>
  <si>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</si>
  <si>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</si>
  <si>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</si>
  <si>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</si>
  <si>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</si>
  <si>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</si>
  <si>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</si>
  <si>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</si>
  <si>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</si>
  <si>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</si>
  <si>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</si>
  <si>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</si>
  <si>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</si>
  <si>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</si>
  <si>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</si>
  <si>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</si>
  <si>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</si>
  <si>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</si>
  <si>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</si>
  <si>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</si>
  <si>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</si>
  <si>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</si>
  <si>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</si>
  <si>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</si>
  <si>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</si>
  <si>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</si>
  <si>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</si>
  <si>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</si>
  <si>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</si>
  <si>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</si>
  <si>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</si>
  <si>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</si>
  <si>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</si>
  <si>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</si>
  <si>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</si>
  <si>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</si>
  <si>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</si>
  <si>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</si>
  <si>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</si>
  <si>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</si>
  <si>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</si>
  <si>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</si>
  <si>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</si>
  <si>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</si>
  <si>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</si>
  <si>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</si>
  <si>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</si>
  <si>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</si>
  <si>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</si>
  <si>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</si>
  <si>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</si>
  <si>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</si>
  <si>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</si>
  <si>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</si>
  <si>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</si>
  <si>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</si>
  <si>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</si>
  <si>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</si>
  <si>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</si>
  <si>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</si>
  <si>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</si>
  <si>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</si>
  <si>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</si>
  <si>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</si>
  <si>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</si>
  <si>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</si>
  <si>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</si>
  <si>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</si>
  <si>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</si>
  <si>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</si>
  <si>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</si>
  <si>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</si>
  <si>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</si>
  <si>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</si>
  <si>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</si>
  <si>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</si>
  <si>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</si>
  <si>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</si>
  <si>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</si>
  <si>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</si>
  <si>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</si>
  <si>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</si>
  <si>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</si>
  <si>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</si>
  <si>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</si>
  <si>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</si>
  <si>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</si>
  <si>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</si>
  <si>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</si>
  <si>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</si>
  <si>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</si>
  <si>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</si>
  <si>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</si>
  <si>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</si>
  <si>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</si>
  <si>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</si>
  <si>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</si>
  <si>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</si>
  <si>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</si>
  <si>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</si>
  <si>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</si>
  <si>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</si>
  <si>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</si>
  <si>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</si>
  <si>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</si>
  <si>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</si>
  <si>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</si>
  <si>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</si>
  <si>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</si>
  <si>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</si>
  <si>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</si>
  <si>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</si>
  <si>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</si>
  <si>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</si>
  <si>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</si>
  <si>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</si>
  <si>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</si>
  <si>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</si>
  <si>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</si>
  <si>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</si>
  <si>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</si>
  <si>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</si>
  <si>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</si>
  <si>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</si>
  <si>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</si>
  <si>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</si>
  <si>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</si>
  <si>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</si>
  <si>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</si>
  <si>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</si>
  <si>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</si>
  <si>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</si>
  <si>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</si>
  <si>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</si>
  <si>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</si>
  <si>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</si>
  <si>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</si>
  <si>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</si>
  <si>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</si>
  <si>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</si>
  <si>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</si>
  <si>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</si>
  <si>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</si>
  <si>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</si>
  <si>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</si>
  <si>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</si>
  <si>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</si>
  <si>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</si>
  <si>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</si>
  <si>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</si>
  <si>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</si>
  <si>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</si>
  <si>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</si>
  <si>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</si>
  <si>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</si>
  <si>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</si>
  <si>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</si>
  <si>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</si>
  <si>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</si>
  <si>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</si>
  <si>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</si>
  <si>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</si>
  <si>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</si>
  <si>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</si>
  <si>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</si>
  <si>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</si>
  <si>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</si>
  <si>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</si>
  <si>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</si>
  <si>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</si>
  <si>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</si>
  <si>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</si>
  <si>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</si>
  <si>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</si>
  <si>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</si>
  <si>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</si>
  <si>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</si>
  <si>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</si>
  <si>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</si>
  <si>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</si>
  <si>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</si>
  <si>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</si>
  <si>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</si>
  <si>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</si>
  <si>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</si>
  <si>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</si>
  <si>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</si>
  <si>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</si>
  <si>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</si>
  <si>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</si>
  <si>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</si>
  <si>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</si>
  <si>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</si>
  <si>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</si>
  <si>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</si>
  <si>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</si>
  <si>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</si>
  <si>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</si>
  <si>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</si>
  <si>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</si>
  <si>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</si>
  <si>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</si>
  <si>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</si>
  <si>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</si>
  <si>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</si>
  <si>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</si>
  <si>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</si>
  <si>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</si>
  <si>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</si>
  <si>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</si>
  <si>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</si>
  <si>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</si>
  <si>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</si>
  <si>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</si>
  <si>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</si>
  <si>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</si>
  <si>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</si>
  <si>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</si>
  <si>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</si>
  <si>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</si>
  <si>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</si>
  <si>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</si>
  <si>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</si>
  <si>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</si>
  <si>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</si>
  <si>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</si>
  <si>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</si>
  <si>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</si>
  <si>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</si>
  <si>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</si>
  <si>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</si>
  <si>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</si>
  <si>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</si>
  <si>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</si>
  <si>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</si>
  <si>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</si>
  <si>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</si>
  <si>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</si>
  <si>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</si>
  <si>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</si>
  <si>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</si>
  <si>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</si>
  <si>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</si>
  <si>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</si>
  <si>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</si>
  <si>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</si>
  <si>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</si>
  <si>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</si>
  <si>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</si>
  <si>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</si>
  <si>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</si>
  <si>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</si>
  <si>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</si>
  <si>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</si>
  <si>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</si>
  <si>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</si>
  <si>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</si>
  <si>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</si>
  <si>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</si>
  <si>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</si>
  <si>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</si>
  <si>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</si>
  <si>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</si>
  <si>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</si>
  <si>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</si>
  <si>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</si>
  <si>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</si>
  <si>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</si>
  <si>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</si>
  <si>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</si>
  <si>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</si>
  <si>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</si>
  <si>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</si>
  <si>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</si>
  <si>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</si>
  <si>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</si>
  <si>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</si>
  <si>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</si>
  <si>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</si>
  <si>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</si>
  <si>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</si>
  <si>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</si>
  <si>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</si>
  <si>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</si>
  <si>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</si>
  <si>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</si>
  <si>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</si>
  <si>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</si>
  <si>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</si>
  <si>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</si>
  <si>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</si>
  <si>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</si>
  <si>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</si>
  <si>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</si>
  <si>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</si>
  <si>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</si>
  <si>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</si>
  <si>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</si>
  <si>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</si>
  <si>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</si>
  <si>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</si>
  <si>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</si>
  <si>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</si>
  <si>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</si>
  <si>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</si>
  <si>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</si>
  <si>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</si>
  <si>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</si>
  <si>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</si>
  <si>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</si>
  <si>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</si>
  <si>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</si>
  <si>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</si>
  <si>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</si>
  <si>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</si>
  <si>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</si>
  <si>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</si>
  <si>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</si>
  <si>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</si>
  <si>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</si>
  <si>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</si>
  <si>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</si>
  <si>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</si>
  <si>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</si>
  <si>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</si>
  <si>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</si>
  <si>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</si>
  <si>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</si>
  <si>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</si>
  <si>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</si>
  <si>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</si>
  <si>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</si>
  <si>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</si>
  <si>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</si>
  <si>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</si>
  <si>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</si>
  <si>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</si>
  <si>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</si>
  <si>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</si>
  <si>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</si>
  <si>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</si>
  <si>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</si>
  <si>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</si>
  <si>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</si>
  <si>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</si>
  <si>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</si>
  <si>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</si>
  <si>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</si>
  <si>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</si>
  <si>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</si>
  <si>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</si>
  <si>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</si>
  <si>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</si>
  <si>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</si>
  <si>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</si>
  <si>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</si>
  <si>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</si>
  <si>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</si>
  <si>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</si>
  <si>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</si>
  <si>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</si>
  <si>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</si>
  <si>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</si>
  <si>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</si>
  <si>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</si>
  <si>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</si>
  <si>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</si>
  <si>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</si>
  <si>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</si>
  <si>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</si>
  <si>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</si>
  <si>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</si>
  <si>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</si>
  <si>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</si>
  <si>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</si>
  <si>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</si>
  <si>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</si>
  <si>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</si>
  <si>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</si>
  <si>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</si>
  <si>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</si>
  <si>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</si>
  <si>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</si>
  <si>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</si>
  <si>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</si>
  <si>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</si>
  <si>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</si>
  <si>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</si>
  <si>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</si>
  <si>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</si>
  <si>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</si>
  <si>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</si>
  <si>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</si>
  <si>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</si>
  <si>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</si>
  <si>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</si>
  <si>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</si>
  <si>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</si>
  <si>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</si>
  <si>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</si>
  <si>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</si>
  <si>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</si>
  <si>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</si>
  <si>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</si>
  <si>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</si>
  <si>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</si>
  <si>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</si>
  <si>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</si>
  <si>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</si>
  <si>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</si>
  <si>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</si>
  <si>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</si>
  <si>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</si>
  <si>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</si>
  <si>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</si>
  <si>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</si>
  <si>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</si>
  <si>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</si>
  <si>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</si>
  <si>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</si>
  <si>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</si>
  <si>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</si>
  <si>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</si>
  <si>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</si>
  <si>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</si>
  <si>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</si>
  <si>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</si>
  <si>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</si>
  <si>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</si>
  <si>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</si>
  <si>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</si>
  <si>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</si>
  <si>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</si>
  <si>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</si>
  <si>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</si>
  <si>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</si>
  <si>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</si>
  <si>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</si>
  <si>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</si>
  <si>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</si>
  <si>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</si>
  <si>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</si>
  <si>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</si>
  <si>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</si>
  <si>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</si>
  <si>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</si>
  <si>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</si>
  <si>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</si>
  <si>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</si>
  <si>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</si>
  <si>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</si>
  <si>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</si>
  <si>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</si>
  <si>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</si>
  <si>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</si>
  <si>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</si>
  <si>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</si>
  <si>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</si>
  <si>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</si>
  <si>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</si>
  <si>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</si>
  <si>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</si>
  <si>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</si>
  <si>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</si>
  <si>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</si>
  <si>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</si>
  <si>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</si>
  <si>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</si>
  <si>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</si>
  <si>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</si>
  <si>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</si>
  <si>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</si>
  <si>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</si>
  <si>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</si>
  <si>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</si>
  <si>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</si>
  <si>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</si>
  <si>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</si>
  <si>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</si>
  <si>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</si>
  <si>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</si>
  <si>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</si>
  <si>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</si>
  <si>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</si>
  <si>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</si>
  <si>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</si>
  <si>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</si>
  <si>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</si>
  <si>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</si>
  <si>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</si>
  <si>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</si>
  <si>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</si>
  <si>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</si>
  <si>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</si>
  <si>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</si>
  <si>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</si>
  <si>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</si>
  <si>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</si>
  <si>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</si>
  <si>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</si>
  <si>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</si>
  <si>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</si>
  <si>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</si>
  <si>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</si>
  <si>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</si>
  <si>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</si>
  <si>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</si>
  <si>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</si>
  <si>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</si>
  <si>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</si>
  <si>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</si>
  <si>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</si>
  <si>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</si>
  <si>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</si>
  <si>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</si>
  <si>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</si>
  <si>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</si>
  <si>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</si>
  <si>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</si>
  <si>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</si>
  <si>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</si>
  <si>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</si>
  <si>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</si>
  <si>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</si>
  <si>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</si>
  <si>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</si>
  <si>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</si>
  <si>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</si>
  <si>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</si>
  <si>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</si>
  <si>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</si>
  <si>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</si>
  <si>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</si>
  <si>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</si>
  <si>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</si>
  <si>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</si>
  <si>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</si>
  <si>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</si>
  <si>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</si>
  <si>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</si>
  <si>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</si>
  <si>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</si>
  <si>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</si>
  <si>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</si>
  <si>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</si>
  <si>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</si>
  <si>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</si>
  <si>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</si>
  <si>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</si>
  <si>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</si>
  <si>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</si>
  <si>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</si>
  <si>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</si>
  <si>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</si>
  <si>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</si>
  <si>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</si>
  <si>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</si>
  <si>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</si>
  <si>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</si>
  <si>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</si>
  <si>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</si>
  <si>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</si>
  <si>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</si>
  <si>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</si>
  <si>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</si>
  <si>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</si>
  <si>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</si>
  <si>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</si>
  <si>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</si>
  <si>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</si>
  <si>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</si>
  <si>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</si>
  <si>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</si>
  <si>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</si>
  <si>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</si>
  <si>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</si>
  <si>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</si>
  <si>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</si>
  <si>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</si>
  <si>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</si>
  <si>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</si>
  <si>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</si>
  <si>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</si>
  <si>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</si>
  <si>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</si>
  <si>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</si>
  <si>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</si>
  <si>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</si>
  <si>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</si>
  <si>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</si>
  <si>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</si>
  <si>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</si>
  <si>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</si>
  <si>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</si>
  <si>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</si>
  <si>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</si>
  <si>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</si>
  <si>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</si>
  <si>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</si>
  <si>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</si>
  <si>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</si>
  <si>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</si>
  <si>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</si>
  <si>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</si>
  <si>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</si>
  <si>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</si>
  <si>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</si>
  <si>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</si>
  <si>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</si>
  <si>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</si>
  <si>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</si>
  <si>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</si>
  <si>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</si>
  <si>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</si>
  <si>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</si>
  <si>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</si>
  <si>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</si>
  <si>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</si>
  <si>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</si>
  <si>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</si>
  <si>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</si>
  <si>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</si>
  <si>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</si>
  <si>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</si>
  <si>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</si>
  <si>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</si>
  <si>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</si>
  <si>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</si>
  <si>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</si>
  <si>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</si>
  <si>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</si>
  <si>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</si>
  <si>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</si>
  <si>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</si>
  <si>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</si>
  <si>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</si>
  <si>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</si>
  <si>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</si>
  <si>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</si>
  <si>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</si>
  <si>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</si>
  <si>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</si>
  <si>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</si>
  <si>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</si>
  <si>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</si>
  <si>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</si>
  <si>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</si>
  <si>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</si>
  <si>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</si>
  <si>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</si>
  <si>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</si>
  <si>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</si>
  <si>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</si>
  <si>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</si>
  <si>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</si>
  <si>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</si>
  <si>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</si>
  <si>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</si>
  <si>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</si>
  <si>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</si>
  <si>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</si>
  <si>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</si>
  <si>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</si>
  <si>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</si>
  <si>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</si>
  <si>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</si>
  <si>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</si>
  <si>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</si>
  <si>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</si>
  <si>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</si>
  <si>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</si>
  <si>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</si>
  <si>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</si>
  <si>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</si>
  <si>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</si>
  <si>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</si>
  <si>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</si>
  <si>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</si>
  <si>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</si>
  <si>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</si>
  <si>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</si>
  <si>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</si>
  <si>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</si>
  <si>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</si>
  <si>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</si>
  <si>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</si>
  <si>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</si>
  <si>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</si>
  <si>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</si>
  <si>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</si>
  <si>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</si>
  <si>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</si>
  <si>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</si>
  <si>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</si>
  <si>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</si>
  <si>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</si>
  <si>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</si>
  <si>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</si>
  <si>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</si>
  <si>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</si>
  <si>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</si>
  <si>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</si>
  <si>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</si>
  <si>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</si>
  <si>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</si>
  <si>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</si>
  <si>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</si>
  <si>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</si>
  <si>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</si>
  <si>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</si>
  <si>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</si>
  <si>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</si>
  <si>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</si>
  <si>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</si>
  <si>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</si>
  <si>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</si>
  <si>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</si>
  <si>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</si>
  <si>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</si>
  <si>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</si>
  <si>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</si>
  <si>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</si>
  <si>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</si>
  <si>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</si>
  <si>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</si>
  <si>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</si>
  <si>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</si>
  <si>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</si>
  <si>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</si>
  <si>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</si>
  <si>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</si>
  <si>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</si>
  <si>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</si>
  <si>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</si>
  <si>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</si>
  <si>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</si>
  <si>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</si>
  <si>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</si>
  <si>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</si>
  <si>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</si>
  <si>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</si>
  <si>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</si>
  <si>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</si>
  <si>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</si>
  <si>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</si>
  <si>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</si>
  <si>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</si>
  <si>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</si>
  <si>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</si>
  <si>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</si>
  <si>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</si>
  <si>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</si>
  <si>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</si>
  <si>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</si>
  <si>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</si>
  <si>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</si>
  <si>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</si>
  <si>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</si>
  <si>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</si>
  <si>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</si>
  <si>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</si>
  <si>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</si>
  <si>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</si>
  <si>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</si>
  <si>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</si>
  <si>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</si>
  <si>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</si>
  <si>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</si>
  <si>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</si>
  <si>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</si>
  <si>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</si>
  <si>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</si>
  <si>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</si>
  <si>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</si>
  <si>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</si>
  <si>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</si>
  <si>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</si>
  <si>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</si>
  <si>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</si>
  <si>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</si>
  <si>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</si>
  <si>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</si>
  <si>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</si>
  <si>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</si>
  <si>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</si>
  <si>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</si>
  <si>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</si>
  <si>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</si>
  <si>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</si>
  <si>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</si>
  <si>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</si>
  <si>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</si>
  <si>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</si>
  <si>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</si>
  <si>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</si>
  <si>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</si>
  <si>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</si>
  <si>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</si>
  <si>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</si>
  <si>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</si>
  <si>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</si>
  <si>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</si>
  <si>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</si>
  <si>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</si>
  <si>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</si>
  <si>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</si>
  <si>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</si>
  <si>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</si>
  <si>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</si>
  <si>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</si>
  <si>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</si>
  <si>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</si>
  <si>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</si>
  <si>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</si>
  <si>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</si>
  <si>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</si>
  <si>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</si>
  <si>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</si>
  <si>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</si>
  <si>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</si>
  <si>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</si>
  <si>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</si>
  <si>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</si>
  <si>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</si>
  <si>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</si>
  <si>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</si>
  <si>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</si>
  <si>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</si>
  <si>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</si>
  <si>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</si>
  <si>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</si>
  <si>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</si>
  <si>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</si>
  <si>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</si>
  <si>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</si>
  <si>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</si>
  <si>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</si>
  <si>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</si>
  <si>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</si>
  <si>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</si>
  <si>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</si>
  <si>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</si>
  <si>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</si>
  <si>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</si>
  <si>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</si>
  <si>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</si>
  <si>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</si>
  <si>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</si>
  <si>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</si>
  <si>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</si>
  <si>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</si>
  <si>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</si>
  <si>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</si>
  <si>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</si>
  <si>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</si>
  <si>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</si>
  <si>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</si>
  <si>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</si>
  <si>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</si>
  <si>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</si>
  <si>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</si>
  <si>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</si>
  <si>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</si>
  <si>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</si>
  <si>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</si>
  <si>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</si>
  <si>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</si>
  <si>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</si>
  <si>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</si>
  <si>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</si>
  <si>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</si>
  <si>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</si>
  <si>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</si>
  <si>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</si>
  <si>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</si>
  <si>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</si>
  <si>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</si>
  <si>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</si>
  <si>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</si>
  <si>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</si>
  <si>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</si>
  <si>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</si>
  <si>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</si>
  <si>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</si>
  <si>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</si>
  <si>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</si>
  <si>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</si>
  <si>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</si>
  <si>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</si>
  <si>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</si>
  <si>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</si>
  <si>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</si>
  <si>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</si>
  <si>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</si>
  <si>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</si>
  <si>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</si>
  <si>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</si>
  <si>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</si>
  <si>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</si>
  <si>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</si>
  <si>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</si>
  <si>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</si>
  <si>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</si>
  <si>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</si>
  <si>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</si>
  <si>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</si>
  <si>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</si>
  <si>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</si>
  <si>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</si>
  <si>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</si>
  <si>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</si>
  <si>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</si>
  <si>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</si>
  <si>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</si>
  <si>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</si>
  <si>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</si>
  <si>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</si>
  <si>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</si>
  <si>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</si>
  <si>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</si>
  <si>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</si>
  <si>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</si>
  <si>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</si>
  <si>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</si>
  <si>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</si>
  <si>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</si>
  <si>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</si>
  <si>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</si>
  <si>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</si>
  <si>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</si>
  <si>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</si>
  <si>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</si>
  <si>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</si>
  <si>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</si>
  <si>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</si>
  <si>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</si>
  <si>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</si>
  <si>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</si>
  <si>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</si>
  <si>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</si>
  <si>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</si>
  <si>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</si>
  <si>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</si>
  <si>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</si>
  <si>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</si>
  <si>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</si>
  <si>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</si>
  <si>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</si>
  <si>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</si>
  <si>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</si>
  <si>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</si>
  <si>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</si>
  <si>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</si>
  <si>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</si>
  <si>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</si>
  <si>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</si>
  <si>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</si>
  <si>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</si>
  <si>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</si>
  <si>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</si>
  <si>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</si>
  <si>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</si>
  <si>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</si>
  <si>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</si>
  <si>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</si>
  <si>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</si>
  <si>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</si>
  <si>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</si>
  <si>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</si>
  <si>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</si>
  <si>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</si>
  <si>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</si>
  <si>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</si>
  <si>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</si>
  <si>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</si>
  <si>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</si>
  <si>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</si>
  <si>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</si>
  <si>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</si>
  <si>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</si>
  <si>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</si>
  <si>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</si>
  <si>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</si>
  <si>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</si>
  <si>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</si>
  <si>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</si>
  <si>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</si>
  <si>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</si>
  <si>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</si>
  <si>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</si>
  <si>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</si>
  <si>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</si>
  <si>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</si>
  <si>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</si>
  <si>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</si>
  <si>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</si>
  <si>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</si>
  <si>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</si>
  <si>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</si>
  <si>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</si>
  <si>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</si>
  <si>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</si>
  <si>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</si>
  <si>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</si>
  <si>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</si>
  <si>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</si>
  <si>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</si>
  <si>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</si>
  <si>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</si>
  <si>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</si>
  <si>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</si>
  <si>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</si>
  <si>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</si>
  <si>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</si>
  <si>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</si>
  <si>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</si>
  <si>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</si>
  <si>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</si>
  <si>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</si>
  <si>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</si>
  <si>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</si>
  <si>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</si>
  <si>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</si>
  <si>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</si>
  <si>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</si>
  <si>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</si>
  <si>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</si>
  <si>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</si>
  <si>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</si>
  <si>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</si>
  <si>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</si>
  <si>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</si>
  <si>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</si>
  <si>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</si>
  <si>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</si>
  <si>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</si>
  <si>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</si>
  <si>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</si>
  <si>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</si>
  <si>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</si>
  <si>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</si>
  <si>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</si>
  <si>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</si>
  <si>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</si>
  <si>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</si>
  <si>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</si>
  <si>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</si>
  <si>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</si>
  <si>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</si>
  <si>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</si>
  <si>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</si>
  <si>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</si>
  <si>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</si>
  <si>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</si>
  <si>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</si>
  <si>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</si>
  <si>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</si>
  <si>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</si>
  <si>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</si>
  <si>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</si>
  <si>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</si>
  <si>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</si>
  <si>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</si>
  <si>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</si>
  <si>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</si>
  <si>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</si>
  <si>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</si>
  <si>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</si>
  <si>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</si>
  <si>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</si>
  <si>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</si>
  <si>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</si>
  <si>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</si>
  <si>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</si>
  <si>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</si>
  <si>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</si>
  <si>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</si>
  <si>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</si>
  <si>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</si>
  <si>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</si>
  <si>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</si>
  <si>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</si>
  <si>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</si>
  <si>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</si>
  <si>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</si>
  <si>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</si>
  <si>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</si>
  <si>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</si>
  <si>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</si>
  <si>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</si>
  <si>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</si>
  <si>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</si>
  <si>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</si>
  <si>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</si>
  <si>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</si>
  <si>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</si>
  <si>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</si>
  <si>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</si>
  <si>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</si>
  <si>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</si>
  <si>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</si>
  <si>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</si>
  <si>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</si>
  <si>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</si>
  <si>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</si>
  <si>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</si>
  <si>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</si>
  <si>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</si>
  <si>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</si>
  <si>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</si>
  <si>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</si>
  <si>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</si>
  <si>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</si>
  <si>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</si>
  <si>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</si>
  <si>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</si>
  <si>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</si>
  <si>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</si>
  <si>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</si>
  <si>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</si>
  <si>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</si>
  <si>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</si>
  <si>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</si>
  <si>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</si>
  <si>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</si>
  <si>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</si>
  <si>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</si>
  <si>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</si>
  <si>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</si>
  <si>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</si>
  <si>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</si>
  <si>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</si>
  <si>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</si>
  <si>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</si>
  <si>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</si>
  <si>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</si>
  <si>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</si>
  <si>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</si>
  <si>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</si>
  <si>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</si>
  <si>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</si>
  <si>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</si>
  <si>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</si>
  <si>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</si>
  <si>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</si>
  <si>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</si>
  <si>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</si>
  <si>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</si>
  <si>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</si>
  <si>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</si>
  <si>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</si>
  <si>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</si>
  <si>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</si>
  <si>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</si>
  <si>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</si>
  <si>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</si>
  <si>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</si>
  <si>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</si>
  <si>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</si>
  <si>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</si>
  <si>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</si>
  <si>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</si>
  <si>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</si>
  <si>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</si>
  <si>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</si>
  <si>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</si>
  <si>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</si>
  <si>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</si>
  <si>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</si>
  <si>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</si>
  <si>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</si>
  <si>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</si>
  <si>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</si>
  <si>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</si>
  <si>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</si>
  <si>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</si>
  <si>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</si>
  <si>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</si>
  <si>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</si>
  <si>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</si>
  <si>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</si>
  <si>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</si>
  <si>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</si>
  <si>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</si>
  <si>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</si>
  <si>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</si>
  <si>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</si>
  <si>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</si>
  <si>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</si>
  <si>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</si>
  <si>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</si>
  <si>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</si>
  <si>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</si>
  <si>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</si>
  <si>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</si>
  <si>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</si>
  <si>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</si>
  <si>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</si>
  <si>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</si>
  <si>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</si>
  <si>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</si>
  <si>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</si>
  <si>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</si>
  <si>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</si>
  <si>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</si>
  <si>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</si>
  <si>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</si>
  <si>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</si>
  <si>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</si>
  <si>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</si>
  <si>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</si>
  <si>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</si>
  <si>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</si>
  <si>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</si>
  <si>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</si>
  <si>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</si>
  <si>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</si>
  <si>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</si>
  <si>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</si>
  <si>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</si>
  <si>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</si>
  <si>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</si>
  <si>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</si>
  <si>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</si>
  <si>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</si>
  <si>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</si>
  <si>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</si>
  <si>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</si>
  <si>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</si>
  <si>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</si>
  <si>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</si>
  <si>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</si>
  <si>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</si>
  <si>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</si>
  <si>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</si>
  <si>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</si>
  <si>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</si>
  <si>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</si>
  <si>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</si>
  <si>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</si>
  <si>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</si>
  <si>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</si>
  <si>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</si>
  <si>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</si>
  <si>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</si>
  <si>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</si>
  <si>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</si>
  <si>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</si>
  <si>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</si>
  <si>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</si>
  <si>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</si>
  <si>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</si>
  <si>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</si>
  <si>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</si>
  <si>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</si>
  <si>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</si>
  <si>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</si>
  <si>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</si>
  <si>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</si>
  <si>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</si>
  <si>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</si>
  <si>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</si>
  <si>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</si>
  <si>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</si>
  <si>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</si>
  <si>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</si>
  <si>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</si>
  <si>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</si>
  <si>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</si>
  <si>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</si>
  <si>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</si>
  <si>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</si>
  <si>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</si>
  <si>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</si>
  <si>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</si>
  <si>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</si>
  <si>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</si>
  <si>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</si>
  <si>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</si>
  <si>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</si>
  <si>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</si>
  <si>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</si>
  <si>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</si>
  <si>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</si>
  <si>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</si>
  <si>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</si>
  <si>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</si>
  <si>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</si>
  <si>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</si>
  <si>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</si>
  <si>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</si>
  <si>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</si>
  <si>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</si>
  <si>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</si>
  <si>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</si>
  <si>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</si>
  <si>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</si>
  <si>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</si>
  <si>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</si>
  <si>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</si>
  <si>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</si>
  <si>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</si>
  <si>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</si>
  <si>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</si>
  <si>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</si>
  <si>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</si>
  <si>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</si>
  <si>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</si>
  <si>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</si>
  <si>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</si>
  <si>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</si>
  <si>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</si>
  <si>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</si>
  <si>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</si>
  <si>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</si>
  <si>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</si>
  <si>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</si>
  <si>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</si>
  <si>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</si>
  <si>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</si>
  <si>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</si>
  <si>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</si>
  <si>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</si>
  <si>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</si>
  <si>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</si>
  <si>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</si>
  <si>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</si>
  <si>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</si>
  <si>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</si>
  <si>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</si>
  <si>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</si>
  <si>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</si>
  <si>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</si>
  <si>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</si>
  <si>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</si>
  <si>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</si>
  <si>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</si>
  <si>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</si>
  <si>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</si>
  <si>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</si>
  <si>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</si>
  <si>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</si>
  <si>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</si>
  <si>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</si>
  <si>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</si>
  <si>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</si>
  <si>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</si>
  <si>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</si>
  <si>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</si>
  <si>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</si>
  <si>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</si>
  <si>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</si>
  <si>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</si>
  <si>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</si>
  <si>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</si>
  <si>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</si>
  <si>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</si>
  <si>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</si>
  <si>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</si>
  <si>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</si>
  <si>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</si>
  <si>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</si>
  <si>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</si>
  <si>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</si>
  <si>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</si>
  <si>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</si>
  <si>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</si>
  <si>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</si>
  <si>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</si>
  <si>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</si>
  <si>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</si>
  <si>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</si>
  <si>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</si>
  <si>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</si>
  <si>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</si>
  <si>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</si>
  <si>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</si>
  <si>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</si>
  <si>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</si>
  <si>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</si>
  <si>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</si>
  <si>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</si>
  <si>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</si>
  <si>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</si>
  <si>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</si>
  <si>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</si>
  <si>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</si>
  <si>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</si>
  <si>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</si>
  <si>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</si>
  <si>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</si>
  <si>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</si>
  <si>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</si>
  <si>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</si>
  <si>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</si>
  <si>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</si>
  <si>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</si>
  <si>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</si>
  <si>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</si>
  <si>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</si>
  <si>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</si>
  <si>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</si>
  <si>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</si>
  <si>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</si>
  <si>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</si>
  <si>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</si>
  <si>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</si>
  <si>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</si>
  <si>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</si>
  <si>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</si>
  <si>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</si>
  <si>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</si>
  <si>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</si>
  <si>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</si>
  <si>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</si>
  <si>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</si>
  <si>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</si>
  <si>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</si>
  <si>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</si>
  <si>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</si>
  <si>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</si>
  <si>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</si>
  <si>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</si>
  <si>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</si>
  <si>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</si>
  <si>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</si>
  <si>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</si>
  <si>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</si>
  <si>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</si>
  <si>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</si>
  <si>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</si>
  <si>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</si>
  <si>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</si>
  <si>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</si>
  <si>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</si>
  <si>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</si>
  <si>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</si>
  <si>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</si>
  <si>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</si>
  <si>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</si>
  <si>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</si>
  <si>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</si>
  <si>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</si>
  <si>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</si>
  <si>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</si>
  <si>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</si>
  <si>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</si>
  <si>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</si>
  <si>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</si>
  <si>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</si>
  <si>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</si>
  <si>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</si>
  <si>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</si>
  <si>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</si>
  <si>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</si>
  <si>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</si>
  <si>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</si>
  <si>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</si>
  <si>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</si>
  <si>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</si>
  <si>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</si>
  <si>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</si>
  <si>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</si>
  <si>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</si>
  <si>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</si>
  <si>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</si>
  <si>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</si>
  <si>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</si>
  <si>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</si>
  <si>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</si>
  <si>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</si>
  <si>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</si>
  <si>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</si>
  <si>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</si>
  <si>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</si>
  <si>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</si>
  <si>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</si>
  <si>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</si>
  <si>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</si>
  <si>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</si>
  <si>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</si>
  <si>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</si>
  <si>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</si>
  <si>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</si>
  <si>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</si>
  <si>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</si>
  <si>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</si>
  <si>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</si>
  <si>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</si>
  <si>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</si>
  <si>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</si>
  <si>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</si>
  <si>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</si>
  <si>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</si>
  <si>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</si>
  <si>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</si>
  <si>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</si>
  <si>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</si>
  <si>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</si>
  <si>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</si>
  <si>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</si>
  <si>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</si>
  <si>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</si>
  <si>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</si>
  <si>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</si>
  <si>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</si>
  <si>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</si>
  <si>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</si>
  <si>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</si>
  <si>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</si>
  <si>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</si>
  <si>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</si>
  <si>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</si>
  <si>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</si>
  <si>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</si>
  <si>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</si>
  <si>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</si>
  <si>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</si>
  <si>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</si>
  <si>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</si>
  <si>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</si>
  <si>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</si>
  <si>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</si>
  <si>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</si>
  <si>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</si>
  <si>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</si>
  <si>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</si>
  <si>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</si>
  <si>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</si>
  <si>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</si>
  <si>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</si>
  <si>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</si>
  <si>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</si>
  <si>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</si>
  <si>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</si>
  <si>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</si>
  <si>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</si>
  <si>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</si>
  <si>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</si>
  <si>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</si>
  <si>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</si>
  <si>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</si>
  <si>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</si>
  <si>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</si>
  <si>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</si>
  <si>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</si>
  <si>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</si>
  <si>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</si>
  <si>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</si>
  <si>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</si>
  <si>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</si>
  <si>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</si>
  <si>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</si>
  <si>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</si>
  <si>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</si>
  <si>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</si>
  <si>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</si>
  <si>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</si>
  <si>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</si>
  <si>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</si>
  <si>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</si>
  <si>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</si>
  <si>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</si>
  <si>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</si>
  <si>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</si>
  <si>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</si>
  <si>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</si>
  <si>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</si>
  <si>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</si>
  <si>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</si>
  <si>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</si>
  <si>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</si>
  <si>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</si>
  <si>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</si>
  <si>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</si>
  <si>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</si>
  <si>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</si>
  <si>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</si>
  <si>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</si>
  <si>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</si>
  <si>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</si>
  <si>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</si>
  <si>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</si>
  <si>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</si>
  <si>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</si>
  <si>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</si>
  <si>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</si>
  <si>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</si>
  <si>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</si>
  <si>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</si>
  <si>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</si>
  <si>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</si>
  <si>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</si>
  <si>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</si>
  <si>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</si>
  <si>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</si>
  <si>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</si>
  <si>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</si>
  <si>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</si>
  <si>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</si>
  <si>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</si>
  <si>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</si>
  <si>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</si>
  <si>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</si>
  <si>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</si>
  <si>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</si>
  <si>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</si>
  <si>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</si>
  <si>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</si>
  <si>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</si>
  <si>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</si>
  <si>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</si>
  <si>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</si>
  <si>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</si>
  <si>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</si>
  <si>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</si>
  <si>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</si>
  <si>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</si>
  <si>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</si>
  <si>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</si>
  <si>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</si>
  <si>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</si>
  <si>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</si>
  <si>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</si>
  <si>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</si>
  <si>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</si>
  <si>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</si>
  <si>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</si>
  <si>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</si>
  <si>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</si>
  <si>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</si>
  <si>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</si>
  <si>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</si>
  <si>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</si>
  <si>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</si>
  <si>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</si>
  <si>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</si>
  <si>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</si>
  <si>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</si>
  <si>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</si>
  <si>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</si>
  <si>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</si>
  <si>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</si>
  <si>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</si>
  <si>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</si>
  <si>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</si>
  <si>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</si>
  <si>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</si>
  <si>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</si>
  <si>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</si>
  <si>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</si>
  <si>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</si>
  <si>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</si>
  <si>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</si>
  <si>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</si>
  <si>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</si>
  <si>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</si>
  <si>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</si>
  <si>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</si>
  <si>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</si>
  <si>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</si>
  <si>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</si>
  <si>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</si>
  <si>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</si>
  <si>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</si>
  <si>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</si>
  <si>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</si>
  <si>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</si>
  <si>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</si>
  <si>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</si>
  <si>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</si>
  <si>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</si>
  <si>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</si>
  <si>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</si>
  <si>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</si>
  <si>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</si>
  <si>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</si>
  <si>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</si>
  <si>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</si>
  <si>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</si>
  <si>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</si>
  <si>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</si>
  <si>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</si>
  <si>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</si>
  <si>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</si>
  <si>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</si>
  <si>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</si>
  <si>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</si>
  <si>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</si>
  <si>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</si>
  <si>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</si>
  <si>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</si>
  <si>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</si>
  <si>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</si>
  <si>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</si>
  <si>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</si>
  <si>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</si>
  <si>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</si>
  <si>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</si>
  <si>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</si>
  <si>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</si>
  <si>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</si>
  <si>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</si>
  <si>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</si>
  <si>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</si>
  <si>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</si>
  <si>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</si>
  <si>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</si>
  <si>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</si>
  <si>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</si>
  <si>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</si>
  <si>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</si>
  <si>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</si>
  <si>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</si>
  <si>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</si>
  <si>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</si>
  <si>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</si>
  <si>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</si>
  <si>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</si>
  <si>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Meister, Hilton, Chitwood &amp; Associates, Inc.</t>
  </si>
  <si>
    <t>Ron Hilton</t>
  </si>
  <si>
    <t>809 W. Detweiller Drive, Suite 806</t>
  </si>
  <si>
    <t>Peoria</t>
  </si>
  <si>
    <t>IL</t>
  </si>
  <si>
    <t>(309) 692-0492</t>
  </si>
  <si>
    <t>066-004769</t>
  </si>
  <si>
    <t>ron.hilton!@comcast.net</t>
  </si>
  <si>
    <t>Knox and Warren</t>
  </si>
  <si>
    <t xml:space="preserve">Galesburg  </t>
  </si>
  <si>
    <t>jasplind@galesburg205.org</t>
  </si>
  <si>
    <t>Dr. John Asplund</t>
  </si>
  <si>
    <t>309-973-2101</t>
  </si>
  <si>
    <t>309-343-7757</t>
  </si>
  <si>
    <t>1135 W. Fremont Street</t>
  </si>
  <si>
    <t>jhouston@galesburg205.org</t>
  </si>
  <si>
    <t>None</t>
  </si>
  <si>
    <t>X</t>
  </si>
  <si>
    <t>Galesburg CUSD No. 205 (1)</t>
  </si>
  <si>
    <t>Tuition from participating districts (2)</t>
  </si>
  <si>
    <t>(1) As administrative agent, Galesburg CUSD #205 personnel provide various administrative functions for the Vocational Center including payroll processing,</t>
  </si>
  <si>
    <t xml:space="preserve">       human resource function, cash receipt and disbursement functions.</t>
  </si>
  <si>
    <t>(2) Abingdon HS, Avon HS, Knoxville HS, Monmouth-Roseville HS, ROWVA HS , United HS, West Central HS, and Williamsfield HS</t>
  </si>
  <si>
    <t>Page 13, CTE - Other  - 4799: CTE Perkins - Secondary 4745 - $ 56,388</t>
  </si>
  <si>
    <t>23.  These financial statements are issued in a format to comply with regulatory provisions prescribed by the Illinois State Board  of Education, which is a comprehensive basis of accounting other than generally accepted accounting principles.  The effects on the financial statements of the variation between these regulatory practices and accounting principles generally accepted in the United States of America, although not reasonably determinable, are deemed to be material.</t>
  </si>
  <si>
    <t>Page 10, Other Local Revenues 1999: Salary reimbursement $ 32,319</t>
  </si>
  <si>
    <t>(309) 683-0441</t>
  </si>
  <si>
    <t>Galesburg Area Voc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</si>
</sst>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99" fillId="0" borderId="96" xfId="18" applyFont="1" applyBorder="1" applyAlignment="1" applyProtection="1">
      <alignment vertical="top" wrapText="1"/>
      <protection locked="0"/>
    </xf>
    <xf numFmtId="0" fontId="99" fillId="0" borderId="0" xfId="18" applyFont="1" applyBorder="1" applyAlignment="1" applyProtection="1">
      <alignment vertical="top" wrapText="1"/>
      <protection locked="0"/>
    </xf>
    <xf numFmtId="0" fontId="99" fillId="0" borderId="97" xfId="18" applyFont="1" applyBorder="1" applyAlignment="1" applyProtection="1">
      <alignment vertical="top" wrapText="1"/>
      <protection locked="0"/>
    </xf>
    <xf numFmtId="0" fontId="99" fillId="0" borderId="98" xfId="18" applyFont="1" applyBorder="1" applyAlignment="1" applyProtection="1">
      <alignment vertical="top" wrapText="1"/>
      <protection locked="0"/>
    </xf>
    <xf numFmtId="0" fontId="99" fillId="0" borderId="78" xfId="18" applyFont="1" applyBorder="1" applyAlignment="1" applyProtection="1">
      <alignment vertical="top" wrapText="1"/>
      <protection locked="0"/>
    </xf>
    <xf numFmtId="0" fontId="99"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0" t="s">
        <v>405</v>
      </c>
      <c r="J1" s="1981"/>
      <c r="K1" s="1981"/>
      <c r="L1" s="1981"/>
      <c r="M1" s="1981"/>
      <c r="N1" s="1981"/>
      <c r="O1" s="1981"/>
      <c r="P1" s="1981"/>
      <c r="Q1" s="1981"/>
      <c r="R1" s="1981"/>
      <c r="S1" s="1981"/>
    </row>
    <row r="2" spans="1:28" ht="12" customHeight="1" x14ac:dyDescent="0.2">
      <c r="A2" s="47" t="s">
        <v>1993</v>
      </c>
      <c r="D2" s="48"/>
      <c r="I2" s="1982" t="s">
        <v>979</v>
      </c>
      <c r="J2" s="1981"/>
      <c r="K2" s="1981"/>
      <c r="L2" s="1981"/>
      <c r="M2" s="1981"/>
      <c r="N2" s="1981"/>
      <c r="O2" s="1981"/>
      <c r="P2" s="1981"/>
      <c r="Q2" s="1981"/>
      <c r="R2" s="1981"/>
      <c r="S2" s="1981"/>
    </row>
    <row r="3" spans="1:28" ht="12" customHeight="1" x14ac:dyDescent="0.2">
      <c r="A3" s="155" t="s">
        <v>1945</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c r="C5" s="26" t="s">
        <v>910</v>
      </c>
      <c r="D5" s="84"/>
      <c r="E5" s="84"/>
      <c r="H5" s="38"/>
      <c r="I5" s="1990" t="s">
        <v>680</v>
      </c>
      <c r="J5" s="1989"/>
      <c r="K5" s="1989"/>
      <c r="L5" s="1989"/>
      <c r="M5" s="1989"/>
      <c r="N5" s="1989"/>
      <c r="O5" s="1989"/>
      <c r="P5" s="1989"/>
      <c r="Q5" s="1989"/>
      <c r="R5" s="1989"/>
      <c r="S5" s="1989"/>
    </row>
    <row r="6" spans="1:28" ht="14.1" customHeight="1" x14ac:dyDescent="0.2">
      <c r="B6" s="104" t="s">
        <v>2064</v>
      </c>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t="s">
        <v>2064</v>
      </c>
      <c r="P12" s="100" t="s">
        <v>202</v>
      </c>
      <c r="Q12" s="74"/>
      <c r="R12" s="30"/>
      <c r="S12" s="30"/>
      <c r="T12" s="85" t="s">
        <v>265</v>
      </c>
      <c r="U12" s="51"/>
      <c r="V12" s="51"/>
      <c r="W12" s="51"/>
      <c r="X12" s="51"/>
      <c r="Y12" s="45"/>
      <c r="Z12" s="45"/>
      <c r="AA12" s="46"/>
    </row>
    <row r="13" spans="1:28" ht="13.5" customHeight="1" x14ac:dyDescent="0.2">
      <c r="A13" s="2015">
        <v>33048205141</v>
      </c>
      <c r="B13" s="2016"/>
      <c r="C13" s="2016"/>
      <c r="D13" s="2016"/>
      <c r="E13" s="2016"/>
      <c r="F13" s="2016"/>
      <c r="G13" s="2016"/>
      <c r="H13" s="2017"/>
      <c r="I13" s="31"/>
      <c r="J13" s="30"/>
      <c r="K13" s="28"/>
      <c r="L13" s="30"/>
      <c r="M13" s="30"/>
      <c r="N13" s="30"/>
      <c r="O13" s="30"/>
      <c r="P13" s="30"/>
      <c r="Q13" s="30"/>
      <c r="R13" s="30"/>
      <c r="S13" s="30"/>
      <c r="T13" s="2020" t="s">
        <v>2065</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2073</v>
      </c>
      <c r="B15" s="2018"/>
      <c r="C15" s="2018"/>
      <c r="D15" s="2018"/>
      <c r="E15" s="2018"/>
      <c r="F15" s="2018"/>
      <c r="G15" s="2018"/>
      <c r="H15" s="2019"/>
      <c r="T15" s="2024" t="s">
        <v>2066</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2092</v>
      </c>
      <c r="B17" s="1975"/>
      <c r="C17" s="1975"/>
      <c r="D17" s="1975"/>
      <c r="E17" s="1975"/>
      <c r="F17" s="1975"/>
      <c r="G17" s="1975"/>
      <c r="H17" s="2000"/>
      <c r="T17" s="2031" t="s">
        <v>2067</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2079</v>
      </c>
      <c r="B19" s="1960"/>
      <c r="C19" s="1960"/>
      <c r="D19" s="1960"/>
      <c r="E19" s="1960"/>
      <c r="F19" s="1960"/>
      <c r="G19" s="1960"/>
      <c r="H19" s="1940"/>
      <c r="I19" s="30"/>
      <c r="J19" s="99"/>
      <c r="K19" s="40"/>
      <c r="L19" s="38"/>
      <c r="M19" s="112" t="s">
        <v>315</v>
      </c>
      <c r="P19" s="27"/>
      <c r="Q19" s="27"/>
      <c r="R19" s="27"/>
      <c r="S19" s="31"/>
      <c r="T19" s="2014" t="s">
        <v>2068</v>
      </c>
      <c r="U19" s="1939"/>
      <c r="V19" s="1939"/>
      <c r="W19" s="1940"/>
      <c r="X19" s="2029" t="s">
        <v>2069</v>
      </c>
      <c r="Y19" s="2030"/>
      <c r="Z19" s="2027">
        <v>61615</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2074</v>
      </c>
      <c r="B21" s="1939"/>
      <c r="C21" s="1939"/>
      <c r="D21" s="1939"/>
      <c r="E21" s="1939"/>
      <c r="F21" s="1939"/>
      <c r="G21" s="1939"/>
      <c r="H21" s="1940"/>
      <c r="I21" s="1994" t="s">
        <v>678</v>
      </c>
      <c r="J21" s="1989"/>
      <c r="K21" s="1989"/>
      <c r="L21" s="1989"/>
      <c r="M21" s="1989"/>
      <c r="N21" s="1989"/>
      <c r="O21" s="1989"/>
      <c r="P21" s="1989"/>
      <c r="Q21" s="1989"/>
      <c r="R21" s="1989"/>
      <c r="S21" s="1995"/>
      <c r="T21" s="2038" t="s">
        <v>2091</v>
      </c>
      <c r="U21" s="2039"/>
      <c r="V21" s="2039"/>
      <c r="W21" s="2039"/>
      <c r="X21" s="2044" t="s">
        <v>2070</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t="s">
        <v>2080</v>
      </c>
      <c r="B23" s="1992"/>
      <c r="C23" s="1992"/>
      <c r="D23" s="1992"/>
      <c r="E23" s="1992"/>
      <c r="F23" s="1992"/>
      <c r="G23" s="1992"/>
      <c r="H23" s="1993"/>
      <c r="T23" s="1974" t="s">
        <v>2071</v>
      </c>
      <c r="U23" s="2037"/>
      <c r="V23" s="2037"/>
      <c r="W23" s="2037"/>
      <c r="X23" s="2041">
        <v>44530</v>
      </c>
      <c r="Y23" s="2042"/>
      <c r="Z23" s="2042"/>
      <c r="AA23" s="2043"/>
    </row>
    <row r="24" spans="1:27" ht="14.1" customHeight="1" x14ac:dyDescent="0.2">
      <c r="A24" s="88" t="s">
        <v>677</v>
      </c>
      <c r="B24" s="49"/>
      <c r="C24" s="49"/>
      <c r="D24" s="49"/>
      <c r="E24" s="49"/>
      <c r="F24" s="49"/>
      <c r="G24" s="49"/>
      <c r="H24" s="61"/>
      <c r="J24" s="1961" t="str">
        <f>IF(B5="x",IF(AUDITCHECK!D29="AFR form Incomplete.","",IF(AUDITCHECK!D29="Deficit reduction plan is required.","School District must complete a deficit reduction plan in the 2019-2020 Budget",)),"")</f>
        <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61401</v>
      </c>
      <c r="B25" s="1939"/>
      <c r="C25" s="1939"/>
      <c r="D25" s="1939"/>
      <c r="E25" s="1939"/>
      <c r="F25" s="1939"/>
      <c r="G25" s="1939"/>
      <c r="H25" s="1940"/>
      <c r="I25" s="113"/>
      <c r="J25" s="1963"/>
      <c r="K25" s="1963"/>
      <c r="L25" s="1963"/>
      <c r="M25" s="1963"/>
      <c r="N25" s="1963"/>
      <c r="O25" s="1963"/>
      <c r="P25" s="1963"/>
      <c r="Q25" s="1963"/>
      <c r="R25" s="1963"/>
      <c r="S25" s="1964"/>
      <c r="T25" s="2034" t="s">
        <v>2072</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48"/>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2076</v>
      </c>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2075</v>
      </c>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t="s">
        <v>2077</v>
      </c>
      <c r="B42" s="1958"/>
      <c r="C42" s="1959"/>
      <c r="D42" s="1957" t="s">
        <v>2078</v>
      </c>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84" t="s">
        <v>1956</v>
      </c>
      <c r="D2" s="723" t="s">
        <v>1957</v>
      </c>
      <c r="E2" s="723" t="s">
        <v>1958</v>
      </c>
      <c r="F2" s="1884" t="s">
        <v>1959</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1964</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0</v>
      </c>
      <c r="I12" s="1758">
        <f>SUM(I5:I11)</f>
        <v>0</v>
      </c>
      <c r="J12" s="1758">
        <f>SUM(J5:J11)</f>
        <v>0</v>
      </c>
      <c r="K12" s="1758">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0</v>
      </c>
      <c r="I23" s="1758">
        <f>SUM(I14:I16,I21,I22)</f>
        <v>0</v>
      </c>
      <c r="J23" s="1758">
        <f>SUM(J14:J16,J21,J22)</f>
        <v>0</v>
      </c>
      <c r="K23" s="1758">
        <f>SUM(K14:K16,K21,K22)</f>
        <v>0</v>
      </c>
    </row>
    <row r="24" spans="1:11" ht="14.25" thickTop="1" thickBot="1" x14ac:dyDescent="0.25">
      <c r="A24" s="2245" t="s">
        <v>1965</v>
      </c>
      <c r="B24" s="2244"/>
      <c r="C24" s="2244"/>
      <c r="D24" s="2244"/>
      <c r="E24" s="224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5" sqref="J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48679</v>
      </c>
      <c r="D12" s="844">
        <v>0</v>
      </c>
      <c r="E12" s="844">
        <v>0</v>
      </c>
      <c r="F12" s="1760">
        <f>(C12+D12)-E12</f>
        <v>48679</v>
      </c>
      <c r="G12" s="843">
        <v>10</v>
      </c>
      <c r="H12" s="765">
        <v>4062</v>
      </c>
      <c r="I12" s="765">
        <v>4868</v>
      </c>
      <c r="J12" s="765">
        <v>0</v>
      </c>
      <c r="K12" s="1769">
        <f>(H12+I12)-J12</f>
        <v>8930</v>
      </c>
      <c r="L12" s="1769">
        <f>F12-K12</f>
        <v>39749</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v>26979</v>
      </c>
      <c r="D14" s="765">
        <v>21390</v>
      </c>
      <c r="E14" s="765">
        <v>0</v>
      </c>
      <c r="F14" s="1760">
        <f>(C14+D14)-E14</f>
        <v>48369</v>
      </c>
      <c r="G14" s="843">
        <v>3</v>
      </c>
      <c r="H14" s="765">
        <v>13489</v>
      </c>
      <c r="I14" s="765">
        <v>12558</v>
      </c>
      <c r="J14" s="765">
        <v>0</v>
      </c>
      <c r="K14" s="1769">
        <f>(H14+I14)-J14</f>
        <v>26047</v>
      </c>
      <c r="L14" s="1769">
        <f>F14-K14</f>
        <v>22322</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75658</v>
      </c>
      <c r="D16" s="1760">
        <f>SUM(D3,D5:D6,D8:D10,D12:D15)</f>
        <v>21390</v>
      </c>
      <c r="E16" s="1760">
        <f>SUM(E3,E5:E6,E8:E10,E12:E15)</f>
        <v>0</v>
      </c>
      <c r="F16" s="1760">
        <f>SUM(F3,F5:F6,F8:F10,F12:F15)</f>
        <v>97048</v>
      </c>
      <c r="G16" s="843"/>
      <c r="H16" s="1760">
        <f>SUM(H3,H6,H8:H10,H12:H14,)</f>
        <v>17551</v>
      </c>
      <c r="I16" s="1760">
        <f>SUM(I3,I6,I8:I10,I12:I14,)</f>
        <v>17426</v>
      </c>
      <c r="J16" s="1760">
        <f>SUM(J3,J6,J8:J10,J12:J14,)</f>
        <v>0</v>
      </c>
      <c r="K16" s="1760">
        <f>(H16+I16)-J16</f>
        <v>34977</v>
      </c>
      <c r="L16" s="1760">
        <f>F16-K16</f>
        <v>62071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11091</v>
      </c>
      <c r="G17" s="837">
        <v>10</v>
      </c>
      <c r="H17" s="769"/>
      <c r="I17" s="1769">
        <f>F17/G17</f>
        <v>1109.0999999999999</v>
      </c>
      <c r="J17" s="769"/>
      <c r="K17" s="795"/>
      <c r="L17" s="795"/>
    </row>
    <row r="18" spans="1:12" ht="14.25" thickTop="1" thickBot="1" x14ac:dyDescent="0.25">
      <c r="A18" s="1767" t="s">
        <v>685</v>
      </c>
      <c r="B18" s="1768"/>
      <c r="C18" s="771"/>
      <c r="D18" s="771"/>
      <c r="E18" s="771"/>
      <c r="F18" s="850"/>
      <c r="G18" s="851"/>
      <c r="H18" s="773"/>
      <c r="I18" s="1760">
        <f>SUM(I16,I17)</f>
        <v>18535.099999999999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453802</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0</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453802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27683</v>
      </c>
      <c r="G53" s="865"/>
    </row>
    <row r="54" spans="1:7" x14ac:dyDescent="0.2">
      <c r="A54" s="869" t="s">
        <v>459</v>
      </c>
      <c r="B54" s="869" t="s">
        <v>1476</v>
      </c>
      <c r="C54" s="889" t="s">
        <v>982</v>
      </c>
      <c r="D54" s="885" t="s">
        <v>1095</v>
      </c>
      <c r="E54" s="868"/>
      <c r="F54" s="1913">
        <f>'Expenditures 15-22'!G114</f>
        <v>21390</v>
      </c>
      <c r="G54" s="865"/>
    </row>
    <row r="55" spans="1:7" x14ac:dyDescent="0.2">
      <c r="A55" s="869" t="s">
        <v>459</v>
      </c>
      <c r="B55" s="869" t="s">
        <v>1477</v>
      </c>
      <c r="C55" s="889" t="s">
        <v>982</v>
      </c>
      <c r="D55" s="885" t="s">
        <v>291</v>
      </c>
      <c r="E55" s="868"/>
      <c r="F55" s="1913">
        <f>'Expenditures 15-22'!I114</f>
        <v>11091</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60164</v>
      </c>
      <c r="G76" s="865"/>
    </row>
    <row r="77" spans="1:8" s="893" customFormat="1" ht="12" customHeight="1" thickTop="1" thickBot="1" x14ac:dyDescent="0.25">
      <c r="A77" s="1779"/>
      <c r="B77" s="1776"/>
      <c r="C77" s="1772"/>
      <c r="D77" s="1777" t="s">
        <v>1900</v>
      </c>
      <c r="E77" s="1774"/>
      <c r="F77" s="1780">
        <f>(F14-F76)</f>
        <v>393638</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84048</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56388</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140436</v>
      </c>
    </row>
    <row r="175" spans="1:7" ht="12" customHeight="1" x14ac:dyDescent="0.2">
      <c r="A175" s="1770"/>
      <c r="B175" s="1784"/>
      <c r="C175" s="1785"/>
      <c r="D175" s="1786" t="s">
        <v>2057</v>
      </c>
      <c r="E175" s="1787"/>
      <c r="F175" s="1789">
        <f>'PCTC-OEPP 27-28'!F77-F174</f>
        <v>253202</v>
      </c>
    </row>
    <row r="176" spans="1:7" ht="12" customHeight="1" x14ac:dyDescent="0.2">
      <c r="A176" s="1770"/>
      <c r="B176" s="1784"/>
      <c r="C176" s="1785"/>
      <c r="D176" s="1786" t="s">
        <v>1817</v>
      </c>
      <c r="E176" s="1787"/>
      <c r="F176" s="1789">
        <f>'Cap Outlay Deprec 26'!I18</f>
        <v>18535.099999999999</v>
      </c>
    </row>
    <row r="177" spans="1:7" ht="12" customHeight="1" x14ac:dyDescent="0.2">
      <c r="A177" s="1770"/>
      <c r="B177" s="1784"/>
      <c r="C177" s="1785"/>
      <c r="D177" s="1786" t="s">
        <v>2058</v>
      </c>
      <c r="E177" s="1787"/>
      <c r="F177" s="1789">
        <f>F175+F176</f>
        <v>271737.09999999998</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19" sqref="C1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2081</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4" t="s">
        <v>1977</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301026</v>
      </c>
      <c r="F19" s="1799"/>
      <c r="G19" s="1801">
        <f>'Expenditures 15-22'!K33-SUM('Expenditures 15-22'!G33,'Expenditures 15-22'!I33)+'Expenditures 15-22'!D229</f>
        <v>301026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3722</v>
      </c>
      <c r="F22" s="1802"/>
      <c r="G22" s="1805">
        <f>'Expenditures 15-22'!K47-SUM('Expenditures 15-22'!G47,'Expenditures 15-22'!I47)+'Expenditures 15-22'!D243</f>
        <v>3722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0</v>
      </c>
      <c r="F23" s="1802"/>
      <c r="G23" s="1804">
        <f>'Expenditures 15-22'!K53-SUM('Expenditures 15-22'!G53,'Expenditures 15-22'!I53)+'Expenditures 15-22'!D257+'Expenditures 15-22'!K330-SUM('Expenditures 15-22'!G330,'Expenditures 15-22'!I330)</f>
        <v>0</v>
      </c>
      <c r="H23" s="987"/>
      <c r="I23" s="162"/>
    </row>
    <row r="24" spans="1:9" s="668" customFormat="1" ht="12" customHeight="1" x14ac:dyDescent="0.2">
      <c r="A24" s="994" t="s">
        <v>566</v>
      </c>
      <c r="B24" s="995"/>
      <c r="C24" s="993">
        <v>2400</v>
      </c>
      <c r="D24" s="1802"/>
      <c r="E24" s="1804">
        <f>'Expenditures 15-22'!K57-SUM('Expenditures 15-22'!G57,'Expenditures 15-22'!I57)+'Expenditures 15-22'!D261</f>
        <v>48390</v>
      </c>
      <c r="F24" s="1802"/>
      <c r="G24" s="1805">
        <f>'Expenditures 15-22'!K57-SUM('Expenditures 15-22'!G57,'Expenditures 15-22'!I57)+'Expenditures 15-22'!D261</f>
        <v>48390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4000</v>
      </c>
      <c r="E27" s="1804">
        <f>E8</f>
        <v>0</v>
      </c>
      <c r="F27" s="1804">
        <f>'Expenditures 15-22'!K60-SUM('Expenditures 15-22'!G60,'Expenditures 15-22'!I60)+'Expenditures 15-22'!D264-E8</f>
        <v>4000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35950</v>
      </c>
      <c r="F28" s="1806">
        <f>'Expenditures 15-22'!K61-SUM('Expenditures 15-22'!G61,'Expenditures 15-22'!I61)+'Expenditures 15-22'!K124-SUM('Expenditures 15-22'!G124,'Expenditures 15-22'!I124)+'Expenditures 15-22'!D266-E9</f>
        <v>35950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550</v>
      </c>
      <c r="E31" s="1804">
        <f>E12</f>
        <v>0</v>
      </c>
      <c r="F31" s="1804">
        <f>'Expenditures 15-22'!K64-SUM('Expenditures 15-22'!G64,'Expenditures 15-22'!I64)+'Expenditures 15-22'!D269-E12</f>
        <v>550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4550</v>
      </c>
      <c r="E41" s="1806">
        <f>SUM(E19:E40)</f>
        <v>389088</v>
      </c>
      <c r="F41" s="1806">
        <f>SUM(F19:F39)</f>
        <v>40500</v>
      </c>
      <c r="G41" s="1806">
        <f>SUM(G19:G40)</f>
        <v>353138</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4550</v>
      </c>
      <c r="F43" s="1807" t="s">
        <v>473</v>
      </c>
      <c r="G43" s="1808">
        <f>F41</f>
        <v>40500</v>
      </c>
    </row>
    <row r="44" spans="1:7" ht="12" customHeight="1" x14ac:dyDescent="0.2">
      <c r="A44" s="987"/>
      <c r="B44" s="162"/>
      <c r="C44" s="1001"/>
      <c r="D44" s="1807" t="s">
        <v>474</v>
      </c>
      <c r="E44" s="1808">
        <f>E41</f>
        <v>389088</v>
      </c>
      <c r="F44" s="1807" t="s">
        <v>474</v>
      </c>
      <c r="G44" s="1808">
        <f>G41</f>
        <v>353138</v>
      </c>
    </row>
    <row r="45" spans="1:7" ht="12" customHeight="1" x14ac:dyDescent="0.2">
      <c r="A45" s="987"/>
      <c r="B45" s="162"/>
      <c r="C45" s="162"/>
      <c r="D45" s="1809" t="s">
        <v>1006</v>
      </c>
      <c r="E45" s="1810">
        <f>(E43/E44)</f>
        <v>1.1694012665515256E-2</v>
      </c>
      <c r="F45" s="1809" t="s">
        <v>1006</v>
      </c>
      <c r="G45" s="1810">
        <f>(G43/G44)</f>
        <v>0.11468604341645476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3" activePane="bottomLeft" state="frozen"/>
      <selection activeCell="A47" sqref="A47"/>
      <selection pane="bottomLeft" activeCell="F54" sqref="F5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Galesburg Area Voc Ctr</v>
      </c>
      <c r="D6" s="2305"/>
      <c r="E6" s="2305"/>
      <c r="F6" s="1852"/>
    </row>
    <row r="7" spans="1:10" ht="11.25" customHeight="1" thickBot="1" x14ac:dyDescent="0.3">
      <c r="A7" s="1850"/>
      <c r="B7" s="1851"/>
      <c r="C7" s="2306">
        <f>COVER!A13</f>
        <v>33048205141</v>
      </c>
      <c r="D7" s="2306"/>
      <c r="E7" s="230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2082</v>
      </c>
      <c r="D25" s="1865" t="s">
        <v>2082</v>
      </c>
      <c r="E25" s="1868"/>
      <c r="F25" s="1867" t="s">
        <v>2083</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2082</v>
      </c>
      <c r="D31" s="1865" t="s">
        <v>2082</v>
      </c>
      <c r="E31" s="1868"/>
      <c r="F31" s="1867" t="s">
        <v>2084</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7"/>
      <c r="D35" s="2307"/>
      <c r="E35" s="2307"/>
      <c r="F35" s="2308"/>
    </row>
    <row r="36" spans="1:11" ht="12" customHeight="1" x14ac:dyDescent="0.2">
      <c r="A36" s="2290" t="s">
        <v>2085</v>
      </c>
      <c r="B36" s="2291"/>
      <c r="C36" s="2291"/>
      <c r="D36" s="2291"/>
      <c r="E36" s="2291"/>
      <c r="F36" s="2292"/>
    </row>
    <row r="37" spans="1:11" ht="12" customHeight="1" x14ac:dyDescent="0.2">
      <c r="A37" s="2290" t="s">
        <v>2086</v>
      </c>
      <c r="B37" s="2291"/>
      <c r="C37" s="2291"/>
      <c r="D37" s="2291"/>
      <c r="E37" s="2291"/>
      <c r="F37" s="2292"/>
    </row>
    <row r="38" spans="1:11" ht="12" customHeight="1" x14ac:dyDescent="0.2">
      <c r="A38" s="2293" t="s">
        <v>2087</v>
      </c>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c r="B41" s="2299"/>
      <c r="C41" s="2299"/>
      <c r="D41" s="2299"/>
      <c r="E41" s="2299"/>
      <c r="F41" s="2300"/>
      <c r="H41" s="1879"/>
      <c r="I41" s="1879"/>
      <c r="J41" s="1879"/>
      <c r="K41" s="1879"/>
    </row>
    <row r="42" spans="1:11" s="1870" customFormat="1" ht="12" customHeight="1" x14ac:dyDescent="0.25">
      <c r="A42" s="2298"/>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firstPageNumber="31" orientation="landscape" useFirstPageNumber="1" r:id="rId1"/>
  <headerFooter>
    <oddHeader>&amp;L&amp;8Page &amp;P&amp;R&amp;8Page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Galesburg Area Voc Ctr</v>
      </c>
      <c r="J6" s="2315"/>
      <c r="Q6" s="1664"/>
    </row>
    <row r="7" spans="1:17" x14ac:dyDescent="0.2">
      <c r="A7" s="2316" t="s">
        <v>869</v>
      </c>
      <c r="B7" s="2317"/>
      <c r="C7" s="2317"/>
      <c r="D7" s="2317"/>
      <c r="E7" s="2318"/>
      <c r="F7" s="1017"/>
      <c r="G7" s="1009"/>
      <c r="H7" s="1016" t="s">
        <v>372</v>
      </c>
      <c r="I7" s="2319">
        <f>COVER!A13</f>
        <v>33048205141</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550</v>
      </c>
      <c r="F16" s="1039"/>
      <c r="G16" s="1811">
        <f t="shared" si="0"/>
        <v>550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550</v>
      </c>
      <c r="F19" s="1813">
        <f t="shared" si="2"/>
        <v>0</v>
      </c>
      <c r="G19" s="1813">
        <f t="shared" si="2"/>
        <v>550</v>
      </c>
      <c r="H19" s="1813">
        <f t="shared" si="2"/>
        <v>0</v>
      </c>
      <c r="I19" s="1813">
        <f t="shared" si="2"/>
        <v>0</v>
      </c>
      <c r="J19" s="1813">
        <f t="shared" si="2"/>
        <v>0</v>
      </c>
    </row>
    <row r="20" spans="1:10" ht="13.5" thickTop="1" x14ac:dyDescent="0.2">
      <c r="A20" s="1035">
        <v>9</v>
      </c>
      <c r="B20" s="2326" t="s">
        <v>1981</v>
      </c>
      <c r="C20" s="2326"/>
      <c r="D20" s="2327"/>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2090</v>
      </c>
    </row>
    <row r="6" spans="1:2" x14ac:dyDescent="0.2">
      <c r="A6" s="1068">
        <v>2</v>
      </c>
      <c r="B6" s="329" t="s">
        <v>2088</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Galesburg Area Voc Ctr</v>
      </c>
    </row>
    <row r="65" spans="2:2" x14ac:dyDescent="0.2">
      <c r="B65" s="1070">
        <f>COVER!A13</f>
        <v>33048205141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6" sqref="F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537139</v>
      </c>
      <c r="C8" s="1815">
        <f>'Acct Summary 7-8'!D8</f>
        <v>0</v>
      </c>
      <c r="D8" s="1815">
        <f>'Acct Summary 7-8'!F8</f>
        <v>0</v>
      </c>
      <c r="E8" s="1815">
        <f>'Acct Summary 7-8'!I8</f>
        <v>0</v>
      </c>
      <c r="F8" s="1815">
        <f>SUM(B8:E8)</f>
        <v>537139</v>
      </c>
    </row>
    <row r="9" spans="1:8" s="1079" customFormat="1" ht="14.25" customHeight="1" thickBot="1" x14ac:dyDescent="0.25">
      <c r="A9" s="1078" t="s">
        <v>1369</v>
      </c>
      <c r="B9" s="1816">
        <f>'Acct Summary 7-8'!C17</f>
        <v>453802</v>
      </c>
      <c r="C9" s="1816">
        <f>'Acct Summary 7-8'!D17</f>
        <v>0</v>
      </c>
      <c r="D9" s="1816">
        <f>'Acct Summary 7-8'!F17</f>
        <v>0</v>
      </c>
      <c r="E9" s="1815"/>
      <c r="F9" s="1815">
        <f>SUM(B9:E9)</f>
        <v>453802</v>
      </c>
    </row>
    <row r="10" spans="1:8" s="1079" customFormat="1" ht="14.25" thickTop="1" thickBot="1" x14ac:dyDescent="0.25">
      <c r="A10" s="1080" t="s">
        <v>1370</v>
      </c>
      <c r="B10" s="1817">
        <f>(B8-B9)</f>
        <v>83337</v>
      </c>
      <c r="C10" s="1817">
        <f>(C8-C9)</f>
        <v>0</v>
      </c>
      <c r="D10" s="1817">
        <f>(D8-D9)</f>
        <v>0</v>
      </c>
      <c r="E10" s="1816">
        <f>(E8-E9)</f>
        <v>0</v>
      </c>
      <c r="F10" s="1818">
        <f>SUM(F8-F9)</f>
        <v>83337</v>
      </c>
    </row>
    <row r="11" spans="1:8" s="1079" customFormat="1" ht="14.25" thickTop="1" thickBot="1" x14ac:dyDescent="0.25">
      <c r="A11" s="1081" t="s">
        <v>1985</v>
      </c>
      <c r="B11" s="1819">
        <f>'Acct Summary 7-8'!C81</f>
        <v>327845</v>
      </c>
      <c r="C11" s="1819">
        <f>'Acct Summary 7-8'!D81</f>
        <v>0</v>
      </c>
      <c r="D11" s="1819">
        <f>'Acct Summary 7-8'!F81</f>
        <v>0</v>
      </c>
      <c r="E11" s="1819">
        <f>'Acct Summary 7-8'!I81</f>
        <v>0</v>
      </c>
      <c r="F11" s="1820">
        <f>SUM(B11:E11)</f>
        <v>327845</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9" colorId="8" zoomScale="110" zoomScaleNormal="110" workbookViewId="0">
      <selection activeCell="C24" sqref="C2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ENTER ACCOUNTING INFO</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33048205141</v>
      </c>
    </row>
    <row r="3" spans="1:2" x14ac:dyDescent="0.2">
      <c r="A3" t="s">
        <v>956</v>
      </c>
      <c r="B3" s="138" t="str">
        <f>COVER!A15</f>
        <v>Knox and Warren</v>
      </c>
    </row>
    <row r="4" spans="1:2" x14ac:dyDescent="0.2">
      <c r="A4" t="s">
        <v>1007</v>
      </c>
      <c r="B4" s="138" t="str">
        <f>COVER!A17</f>
        <v>Galesburg Area Voc Ctr</v>
      </c>
    </row>
    <row r="5" spans="1:2" x14ac:dyDescent="0.2">
      <c r="A5" t="s">
        <v>704</v>
      </c>
      <c r="B5" s="138" t="str">
        <f>COVER!A38</f>
        <v>Dr. John Asplund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066-004769</v>
      </c>
    </row>
    <row r="16" spans="1:2" x14ac:dyDescent="0.2">
      <c r="A16" t="s">
        <v>422</v>
      </c>
      <c r="B16" s="138" t="str">
        <f>COVER!T13</f>
        <v>Meister, Hilton, Chitwood &amp; Associates, Inc.</v>
      </c>
    </row>
    <row r="17" spans="1:2" x14ac:dyDescent="0.2">
      <c r="A17" t="s">
        <v>884</v>
      </c>
      <c r="B17" s="138" t="str">
        <f>COVER!T15</f>
        <v>Ron Hilton</v>
      </c>
    </row>
    <row r="18" spans="1:2" x14ac:dyDescent="0.2">
      <c r="A18" t="s">
        <v>1150</v>
      </c>
      <c r="B18" s="138" t="str">
        <f>COVER!T17</f>
        <v>809 W. Detweiller Drive, Suite 806</v>
      </c>
    </row>
    <row r="19" spans="1:2" x14ac:dyDescent="0.2">
      <c r="A19" t="s">
        <v>886</v>
      </c>
      <c r="B19" s="138" t="str">
        <f>COVER!T25</f>
        <v>ron.hilton!@comcast.net</v>
      </c>
    </row>
    <row r="20" spans="1:2" x14ac:dyDescent="0.2">
      <c r="A20" t="s">
        <v>887</v>
      </c>
      <c r="B20" s="138" t="str">
        <f>COVER!T19</f>
        <v>Peoria</v>
      </c>
    </row>
    <row r="21" spans="1:2" x14ac:dyDescent="0.2">
      <c r="A21" t="s">
        <v>479</v>
      </c>
      <c r="B21" s="138" t="str">
        <f>COVER!X19</f>
        <v>IL</v>
      </c>
    </row>
    <row r="22" spans="1:2" x14ac:dyDescent="0.2">
      <c r="A22" t="s">
        <v>888</v>
      </c>
      <c r="B22" s="138">
        <f>COVER!Z19</f>
        <v>61615</v>
      </c>
    </row>
    <row r="23" spans="1:2" x14ac:dyDescent="0.2">
      <c r="A23" t="s">
        <v>1152</v>
      </c>
      <c r="B23" s="138" t="str">
        <f>COVER!T21</f>
        <v>(309) 683-0441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354364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26519</v>
      </c>
      <c r="C91" s="2" t="s">
        <v>573</v>
      </c>
      <c r="D91" s="2" t="str">
        <f t="shared" si="0"/>
        <v>Error?</v>
      </c>
    </row>
    <row r="92" spans="1:4" x14ac:dyDescent="0.2">
      <c r="A92" s="5">
        <v>31</v>
      </c>
      <c r="B92" s="138">
        <f>'Assets-Liab 5-6'!C39</f>
        <v>327845</v>
      </c>
      <c r="D92" s="2" t="str">
        <f t="shared" si="0"/>
        <v>Error?</v>
      </c>
    </row>
    <row r="93" spans="1:4" x14ac:dyDescent="0.2">
      <c r="A93" s="5">
        <v>32</v>
      </c>
      <c r="B93" s="138">
        <f>'Assets-Liab 5-6'!C41</f>
        <v>354364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97048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97048</v>
      </c>
      <c r="C279" s="2" t="s">
        <v>573</v>
      </c>
      <c r="D279" s="2" t="str">
        <f t="shared" si="3"/>
        <v>Error?</v>
      </c>
    </row>
    <row r="280" spans="1:4" x14ac:dyDescent="0.2">
      <c r="A280" s="5">
        <v>219</v>
      </c>
      <c r="B280" s="138">
        <f>'Assets-Liab 5-6'!M40</f>
        <v>97048</v>
      </c>
      <c r="D280" s="2" t="str">
        <f t="shared" si="3"/>
        <v>Error?</v>
      </c>
    </row>
    <row r="281" spans="1:4" x14ac:dyDescent="0.2">
      <c r="A281" s="5">
        <v>220</v>
      </c>
      <c r="B281" s="138">
        <f>'Assets-Liab 5-6'!M41</f>
        <v>97048</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233480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233480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36174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36174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36174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269654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23119</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23119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11841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11841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11841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34960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3220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3220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3722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3722</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573</v>
      </c>
      <c r="D850" s="2" t="str">
        <f t="shared" si="12"/>
        <v>Error?</v>
      </c>
    </row>
    <row r="851" spans="1:4" x14ac:dyDescent="0.2">
      <c r="A851" s="5">
        <v>790</v>
      </c>
      <c r="B851" s="138">
        <f>'Expenditures 15-22'!E55</f>
        <v>165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4000</v>
      </c>
      <c r="D855" s="2" t="str">
        <f t="shared" si="12"/>
        <v>Error?</v>
      </c>
    </row>
    <row r="856" spans="1:4" x14ac:dyDescent="0.2">
      <c r="A856" s="5">
        <v>795</v>
      </c>
      <c r="B856" s="138">
        <f>'Expenditures 15-22'!E61</f>
        <v>35950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550</v>
      </c>
      <c r="D859" s="2" t="str">
        <f t="shared" si="12"/>
        <v>Error?</v>
      </c>
    </row>
    <row r="860" spans="1:4" x14ac:dyDescent="0.2">
      <c r="A860" s="10">
        <v>799</v>
      </c>
      <c r="D860" s="2" t="str">
        <f t="shared" si="12"/>
        <v>OK</v>
      </c>
    </row>
    <row r="861" spans="1:4" x14ac:dyDescent="0.2">
      <c r="A861" s="5">
        <v>800</v>
      </c>
      <c r="B861" s="138">
        <f>'Expenditures 15-22'!E65</f>
        <v>40500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44387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47607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41207</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41207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41207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21390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21390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21390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210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27683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27893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333507</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333507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3722</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3722</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0</v>
      </c>
      <c r="C1122" s="2" t="s">
        <v>573</v>
      </c>
      <c r="D1122" s="2" t="str">
        <f t="shared" si="16"/>
        <v>Error?</v>
      </c>
    </row>
    <row r="1123" spans="1:4" x14ac:dyDescent="0.2">
      <c r="A1123" s="5">
        <v>1062</v>
      </c>
      <c r="B1123" s="138">
        <f>'Expenditures 15-22'!K55</f>
        <v>48390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48390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4000</v>
      </c>
      <c r="C1127" s="2" t="s">
        <v>573</v>
      </c>
      <c r="D1127" s="2" t="str">
        <f t="shared" si="16"/>
        <v>Error?</v>
      </c>
    </row>
    <row r="1128" spans="1:4" x14ac:dyDescent="0.2">
      <c r="A1128" s="5">
        <v>1067</v>
      </c>
      <c r="B1128" s="138">
        <f>'Expenditures 15-22'!K61</f>
        <v>35950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550</v>
      </c>
      <c r="C1131" s="2" t="s">
        <v>573</v>
      </c>
      <c r="D1131" s="2" t="str">
        <f t="shared" si="16"/>
        <v>Error?</v>
      </c>
    </row>
    <row r="1132" spans="1:4" x14ac:dyDescent="0.2">
      <c r="A1132" s="10">
        <v>1071</v>
      </c>
      <c r="D1132" s="2" t="str">
        <f t="shared" si="16"/>
        <v>OK</v>
      </c>
    </row>
    <row r="1133" spans="1:4" x14ac:dyDescent="0.2">
      <c r="A1133" s="5">
        <v>1072</v>
      </c>
      <c r="B1133" s="138">
        <f>'Expenditures 15-22'!K65</f>
        <v>40500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92612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27683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453802</v>
      </c>
      <c r="C1152" s="2" t="s">
        <v>573</v>
      </c>
      <c r="D1152" s="2" t="str">
        <f t="shared" si="17"/>
        <v>Error?</v>
      </c>
    </row>
    <row r="1153" spans="1:4" x14ac:dyDescent="0.2">
      <c r="A1153" s="5">
        <v>1092</v>
      </c>
      <c r="B1153" s="138">
        <f>'Expenditures 15-22'!K115</f>
        <v>83337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244508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327845</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48679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75658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21390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48679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97048</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4062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17551</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4868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17426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8930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34977</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39749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62071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27683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27683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396703</v>
      </c>
      <c r="C2551" s="2" t="s">
        <v>573</v>
      </c>
      <c r="D2551" s="2" t="str">
        <f t="shared" si="38"/>
        <v>Error?</v>
      </c>
    </row>
    <row r="2552" spans="1:4" x14ac:dyDescent="0.2">
      <c r="A2552" s="10">
        <v>2491</v>
      </c>
      <c r="D2552" s="2" t="str">
        <f t="shared" si="38"/>
        <v>OK</v>
      </c>
    </row>
    <row r="2553" spans="1:4" x14ac:dyDescent="0.2">
      <c r="A2553" s="5">
        <v>2492</v>
      </c>
      <c r="B2553" s="138">
        <f>'Acct Summary 7-8'!C6</f>
        <v>84048</v>
      </c>
      <c r="C2553" s="2" t="s">
        <v>573</v>
      </c>
      <c r="D2553" s="2" t="str">
        <f t="shared" si="38"/>
        <v>Error?</v>
      </c>
    </row>
    <row r="2554" spans="1:4" x14ac:dyDescent="0.2">
      <c r="A2554" s="5">
        <v>2493</v>
      </c>
      <c r="B2554" s="138">
        <f>'Acct Summary 7-8'!C7</f>
        <v>56388</v>
      </c>
      <c r="C2554" s="2" t="s">
        <v>573</v>
      </c>
      <c r="D2554" s="2" t="str">
        <f t="shared" si="38"/>
        <v>Error?</v>
      </c>
    </row>
    <row r="2555" spans="1:4" x14ac:dyDescent="0.2">
      <c r="A2555" s="5">
        <v>2494</v>
      </c>
      <c r="B2555" s="138">
        <f>'Acct Summary 7-8'!C8</f>
        <v>537139</v>
      </c>
      <c r="C2555" s="2" t="s">
        <v>573</v>
      </c>
      <c r="D2555" s="2" t="str">
        <f t="shared" si="38"/>
        <v>Error?</v>
      </c>
    </row>
    <row r="2556" spans="1:4" x14ac:dyDescent="0.2">
      <c r="A2556" s="5">
        <v>2495</v>
      </c>
      <c r="B2556" s="138">
        <f>'Acct Summary 7-8'!C12</f>
        <v>333507</v>
      </c>
      <c r="C2556" s="2" t="s">
        <v>573</v>
      </c>
      <c r="D2556" s="2" t="str">
        <f t="shared" si="38"/>
        <v>Error?</v>
      </c>
    </row>
    <row r="2557" spans="1:4" x14ac:dyDescent="0.2">
      <c r="A2557" s="5">
        <v>2496</v>
      </c>
      <c r="B2557" s="138">
        <f>'Acct Summary 7-8'!C13</f>
        <v>92612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27683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453802</v>
      </c>
      <c r="C2561" s="2" t="s">
        <v>573</v>
      </c>
      <c r="D2561" s="2" t="str">
        <f t="shared" si="39"/>
        <v>Error?</v>
      </c>
    </row>
    <row r="2562" spans="1:4" x14ac:dyDescent="0.2">
      <c r="A2562" s="5">
        <v>2501</v>
      </c>
      <c r="B2562" s="138">
        <f>'Acct Summary 7-8'!C20</f>
        <v>83337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27683</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27683</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83337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237997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537139</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453802</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327845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56388</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323705</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323705</v>
      </c>
      <c r="C5087" s="2" t="s">
        <v>573</v>
      </c>
      <c r="D5087" s="2" t="str">
        <f t="shared" si="78"/>
        <v>Error?</v>
      </c>
    </row>
    <row r="5088" spans="1:4" x14ac:dyDescent="0.2">
      <c r="A5088" s="5">
        <v>5027</v>
      </c>
      <c r="B5088" s="138">
        <f>'Revenues 9-14'!C65</f>
        <v>5168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5168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15800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15043</v>
      </c>
      <c r="D5116" s="2" t="str">
        <f t="shared" si="78"/>
        <v>Error?</v>
      </c>
    </row>
    <row r="5117" spans="1:4" x14ac:dyDescent="0.2">
      <c r="A5117" s="5">
        <v>5056</v>
      </c>
      <c r="B5117" s="138">
        <f>'Revenues 9-14'!C105</f>
        <v>4668</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32319</v>
      </c>
      <c r="D5119" s="2" t="str">
        <f t="shared" ref="D5119:D5182" si="79">IF(ISBLANK(B5119),"OK",IF(A5119-B5119=0,"OK","Error?"))</f>
        <v>Error?</v>
      </c>
    </row>
    <row r="5120" spans="1:4" x14ac:dyDescent="0.2">
      <c r="A5120" s="5">
        <v>5059</v>
      </c>
      <c r="B5120" s="138">
        <f>'Revenues 9-14'!C108</f>
        <v>67830</v>
      </c>
      <c r="C5120" s="2" t="s">
        <v>573</v>
      </c>
      <c r="D5120" s="2" t="str">
        <f t="shared" si="79"/>
        <v>Error?</v>
      </c>
    </row>
    <row r="5121" spans="1:4" x14ac:dyDescent="0.2">
      <c r="A5121" s="5">
        <v>5060</v>
      </c>
      <c r="B5121" s="138">
        <f>'Revenues 9-14'!C109</f>
        <v>396703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84048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84048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84048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84048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56388</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56388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56388</v>
      </c>
      <c r="C5326" s="2" t="s">
        <v>573</v>
      </c>
      <c r="D5326" s="2" t="str">
        <f t="shared" si="82"/>
        <v>Error?</v>
      </c>
    </row>
    <row r="5327" spans="1:5" x14ac:dyDescent="0.2">
      <c r="A5327" s="5">
        <v>5266</v>
      </c>
      <c r="B5327" s="138">
        <f>'Revenues 9-14'!C268</f>
        <v>537139</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116367</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26519</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83337</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0.25419634278393755</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11091</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11091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11091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26979</v>
      </c>
      <c r="D7615" s="2" t="str">
        <f t="shared" ref="D7615:D7678" si="124">IF(ISBLANK(B7615),"OK",IF(A7615-B7615=0,"OK","Error?"))</f>
        <v>Error?</v>
      </c>
      <c r="E7615" s="2" t="s">
        <v>19</v>
      </c>
    </row>
    <row r="7616" spans="1:5" x14ac:dyDescent="0.2">
      <c r="A7616">
        <f t="shared" si="123"/>
        <v>7555</v>
      </c>
      <c r="B7616" s="138">
        <f>'Cap Outlay Deprec 26'!D14</f>
        <v>21390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48369</v>
      </c>
      <c r="D7618" s="2" t="str">
        <f t="shared" si="124"/>
        <v>Error?</v>
      </c>
      <c r="E7618" s="2" t="s">
        <v>19</v>
      </c>
    </row>
    <row r="7619" spans="1:5" x14ac:dyDescent="0.2">
      <c r="A7619">
        <f t="shared" si="123"/>
        <v>7558</v>
      </c>
      <c r="B7619" s="138">
        <f>'Cap Outlay Deprec 26'!H14</f>
        <v>13489</v>
      </c>
      <c r="D7619" s="2" t="str">
        <f t="shared" si="124"/>
        <v>Error?</v>
      </c>
      <c r="E7619" s="2" t="s">
        <v>19</v>
      </c>
    </row>
    <row r="7620" spans="1:5" x14ac:dyDescent="0.2">
      <c r="A7620">
        <f t="shared" si="123"/>
        <v>7559</v>
      </c>
      <c r="B7620" s="138">
        <f>'Cap Outlay Deprec 26'!I14</f>
        <v>12558</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26047</v>
      </c>
      <c r="D7622" s="2" t="str">
        <f t="shared" si="124"/>
        <v>Error?</v>
      </c>
      <c r="E7622" s="2" t="s">
        <v>19</v>
      </c>
    </row>
    <row r="7623" spans="1:5" x14ac:dyDescent="0.2">
      <c r="A7623">
        <f t="shared" si="123"/>
        <v>7562</v>
      </c>
      <c r="B7623" s="138">
        <f>'Cap Outlay Deprec 26'!L14</f>
        <v>22322</v>
      </c>
      <c r="D7623" s="2" t="str">
        <f t="shared" si="124"/>
        <v>Error?</v>
      </c>
      <c r="E7623" s="2" t="s">
        <v>19</v>
      </c>
    </row>
    <row r="7624" spans="1:5" x14ac:dyDescent="0.2">
      <c r="A7624">
        <f t="shared" si="123"/>
        <v>7563</v>
      </c>
      <c r="B7624" s="138">
        <f>'Cap Outlay Deprec 26'!F17</f>
        <v>11091</v>
      </c>
      <c r="D7624" s="2" t="str">
        <f t="shared" si="124"/>
        <v>Error?</v>
      </c>
      <c r="E7624" s="2" t="s">
        <v>19</v>
      </c>
    </row>
    <row r="7625" spans="1:5" x14ac:dyDescent="0.2">
      <c r="A7625">
        <f t="shared" si="123"/>
        <v>7564</v>
      </c>
      <c r="B7625" s="138">
        <f>'Cap Outlay Deprec 26'!I17</f>
        <v>1109.0999999999999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18535.099999999999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1989</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Galesburg Area Voc Ctr</v>
      </c>
      <c r="B7" s="2382"/>
      <c r="C7" s="2382"/>
      <c r="D7" s="2419"/>
      <c r="E7" s="2420">
        <f>COVER!A13</f>
        <v>33048205141</v>
      </c>
      <c r="F7" s="2421"/>
      <c r="G7" s="2388" t="str">
        <f>COVER!T23</f>
        <v>066-004769</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Meister, Hilton, Chitwood &amp; Associates, Inc.</v>
      </c>
      <c r="H9" s="2395"/>
      <c r="I9" s="2395"/>
      <c r="J9" s="2395"/>
      <c r="K9" s="2395"/>
      <c r="L9" s="2396"/>
    </row>
    <row r="10" spans="1:29" ht="13.5" customHeight="1" x14ac:dyDescent="0.2">
      <c r="A10" s="2378" t="str">
        <f>COVER!A38</f>
        <v>Dr. John Asplund</v>
      </c>
      <c r="B10" s="2379"/>
      <c r="C10" s="2379"/>
      <c r="D10" s="2379"/>
      <c r="E10" s="2379"/>
      <c r="F10" s="2380"/>
      <c r="G10" s="2394" t="str">
        <f>COVER!T17</f>
        <v>809 W. Detweiller Drive, Suite 806</v>
      </c>
      <c r="H10" s="2407"/>
      <c r="I10" s="2407"/>
      <c r="J10" s="2407"/>
      <c r="K10" s="2407"/>
      <c r="L10" s="2408"/>
    </row>
    <row r="11" spans="1:29" ht="13.5" customHeight="1" x14ac:dyDescent="0.2">
      <c r="A11" s="1184" t="s">
        <v>1519</v>
      </c>
      <c r="B11" s="1185"/>
      <c r="C11" s="1186"/>
      <c r="D11" s="1191"/>
      <c r="E11" s="1186"/>
      <c r="F11" s="1190"/>
      <c r="G11" s="2394" t="str">
        <f>COVER!T19</f>
        <v>Peoria</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ron.hilton!@comcast.net</v>
      </c>
      <c r="J13" s="2416"/>
      <c r="K13" s="2416"/>
      <c r="L13" s="2417"/>
    </row>
    <row r="14" spans="1:29" ht="13.5" customHeight="1" x14ac:dyDescent="0.2">
      <c r="A14" s="2394" t="str">
        <f>COVER!A19</f>
        <v>1135 W. Fremont Street</v>
      </c>
      <c r="B14" s="2407"/>
      <c r="C14" s="2407"/>
      <c r="D14" s="2407"/>
      <c r="E14" s="2407"/>
      <c r="F14" s="2408"/>
      <c r="G14" s="1195" t="s">
        <v>1185</v>
      </c>
      <c r="H14" s="1193"/>
      <c r="I14" s="1193"/>
      <c r="J14" s="1193"/>
      <c r="K14" s="1193"/>
      <c r="L14" s="1194"/>
    </row>
    <row r="15" spans="1:29" ht="13.5" customHeight="1" x14ac:dyDescent="0.2">
      <c r="A15" s="2394" t="str">
        <f>COVER!A21</f>
        <v xml:space="preserve">Galesburg  </v>
      </c>
      <c r="B15" s="2407"/>
      <c r="C15" s="2407"/>
      <c r="D15" s="2407"/>
      <c r="E15" s="2407"/>
      <c r="F15" s="2408"/>
      <c r="G15" s="2404" t="str">
        <f>COVER!T15</f>
        <v>Ron Hilton</v>
      </c>
      <c r="H15" s="2405"/>
      <c r="I15" s="2405"/>
      <c r="J15" s="2405"/>
      <c r="K15" s="2405"/>
      <c r="L15" s="2406"/>
    </row>
    <row r="16" spans="1:29" ht="12.2" customHeight="1" x14ac:dyDescent="0.2">
      <c r="A16" s="2384">
        <f>COVER!A25</f>
        <v>61401</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t="str">
        <f>COVER!T21</f>
        <v>(309) 683-0441</v>
      </c>
      <c r="H18" s="2382"/>
      <c r="I18" s="2382"/>
      <c r="J18" s="2382"/>
      <c r="K18" s="2381" t="str">
        <f>COVER!X21</f>
        <v>(309) 692-0492</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Galesburg Area Voc Ctr</v>
      </c>
      <c r="B1" s="2418"/>
      <c r="C1" s="2418"/>
      <c r="D1" s="2418"/>
    </row>
    <row r="2" spans="1:11" s="1212" customFormat="1" ht="12.75" x14ac:dyDescent="0.2">
      <c r="A2" s="2423">
        <f>'Single Audit Cover'!E7</f>
        <v>33048205141</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Galesburg Area Voc Ctr</v>
      </c>
      <c r="B1" s="2426"/>
      <c r="C1" s="2426"/>
      <c r="D1" s="2426"/>
      <c r="E1" s="2426"/>
    </row>
    <row r="2" spans="1:5" x14ac:dyDescent="0.2">
      <c r="A2" s="2427">
        <f>'Single Audit Cover'!E7</f>
        <v>33048205141</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56388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56388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56388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56388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Galesburg Area Voc Ctr</v>
      </c>
      <c r="C1" s="2430"/>
      <c r="D1" s="2430"/>
      <c r="E1" s="2430"/>
      <c r="F1" s="2430"/>
      <c r="G1" s="2430"/>
      <c r="H1" s="2430"/>
      <c r="I1" s="2430"/>
      <c r="J1" s="2430"/>
      <c r="K1" s="2430"/>
      <c r="L1" s="2430"/>
      <c r="M1" s="2430"/>
    </row>
    <row r="2" spans="2:14" ht="15" x14ac:dyDescent="0.2">
      <c r="B2" s="2431">
        <f>'Single Audit Cover'!E7</f>
        <v>33048205141</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Galesburg Area Voc Ctr</v>
      </c>
      <c r="B1" s="2435"/>
      <c r="C1" s="2435"/>
      <c r="D1" s="2435"/>
      <c r="E1" s="2435"/>
      <c r="F1" s="2435"/>
    </row>
    <row r="2" spans="1:7" ht="13.5" customHeight="1" x14ac:dyDescent="0.2">
      <c r="A2" s="2431">
        <f>'Single Audit Cover'!E7</f>
        <v>33048205141</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t="s">
        <v>2089</v>
      </c>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v>43738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2065</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Galesburg Area Voc Ctr</v>
      </c>
      <c r="C1" s="2451"/>
      <c r="D1" s="2451"/>
      <c r="E1" s="2451"/>
      <c r="F1" s="2451"/>
      <c r="G1" s="2451"/>
      <c r="H1" s="2451"/>
      <c r="I1" s="2451"/>
      <c r="J1" s="1406"/>
    </row>
    <row r="2" spans="2:10" s="317" customFormat="1" ht="12.75" customHeight="1" x14ac:dyDescent="0.2">
      <c r="B2" s="2452">
        <f>'Single Audit Cover'!E7</f>
        <v>33048205141</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1841</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Galesburg Area Voc Ctr</v>
      </c>
      <c r="C1" s="2450"/>
      <c r="D1" s="2450"/>
      <c r="E1" s="2450"/>
      <c r="F1" s="2450"/>
      <c r="G1" s="2450"/>
      <c r="H1" s="2450"/>
      <c r="I1" s="2450"/>
      <c r="J1" s="2450"/>
      <c r="K1" s="2450"/>
      <c r="L1" s="1371"/>
      <c r="M1" s="1371"/>
    </row>
    <row r="2" spans="1:13" ht="12" customHeight="1" x14ac:dyDescent="0.2">
      <c r="B2" s="2452">
        <f>'Single Audit Cover'!E7</f>
        <v>33048205141</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Galesburg Area Voc Ctr</v>
      </c>
      <c r="C1" s="2477"/>
      <c r="D1" s="2477"/>
      <c r="E1" s="2477"/>
      <c r="F1" s="2477"/>
      <c r="G1" s="2477"/>
      <c r="H1" s="2477"/>
      <c r="I1" s="2477"/>
      <c r="J1" s="2477"/>
      <c r="K1" s="2477"/>
      <c r="L1" s="1449"/>
    </row>
    <row r="2" spans="1:12" ht="12.75" customHeight="1" x14ac:dyDescent="0.2">
      <c r="B2" s="2478">
        <f>'Single Audit Cover'!E7</f>
        <v>33048205141</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Galesburg Area Voc Ctr</v>
      </c>
      <c r="C1" s="2450"/>
      <c r="D1" s="2450"/>
      <c r="E1" s="1469"/>
    </row>
    <row r="2" spans="2:5" s="1279" customFormat="1" ht="12.75" customHeight="1" x14ac:dyDescent="0.2">
      <c r="B2" s="2452">
        <f>'Single Audit Cover'!E7</f>
        <v>33048205141</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537139</v>
      </c>
      <c r="E16" s="356"/>
      <c r="F16" s="1733">
        <f>SUM('Acct Summary 7-8'!C17,'Acct Summary 7-8'!D17,'Acct Summary 7-8'!F17)</f>
        <v>453802</v>
      </c>
      <c r="G16" s="356"/>
      <c r="H16" s="1733">
        <f>SUM(D16-F16)</f>
        <v>83337</v>
      </c>
      <c r="I16" s="222"/>
      <c r="J16" s="1733">
        <f>SUM('Acct Summary 7-8'!C81,'Acct Summary 7-8'!D81,'Acct Summary 7-8'!F81,'Acct Summary 7-8'!I81)</f>
        <v>327845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Galesburg Area Voc Ctr</v>
      </c>
      <c r="E7" s="391"/>
      <c r="G7" s="252"/>
      <c r="H7" s="387"/>
      <c r="I7" s="387"/>
      <c r="J7" s="387"/>
      <c r="K7" s="387"/>
      <c r="L7" s="329"/>
      <c r="M7" s="329"/>
      <c r="N7" s="329"/>
      <c r="O7" s="329"/>
      <c r="P7" s="329"/>
    </row>
    <row r="8" spans="1:18" ht="12.75" x14ac:dyDescent="0.2">
      <c r="A8" s="329"/>
      <c r="B8" s="329"/>
      <c r="C8" s="389" t="s">
        <v>1125</v>
      </c>
      <c r="D8" s="392">
        <f>COVER!A13</f>
        <v>33048205141</v>
      </c>
      <c r="E8" s="393"/>
      <c r="G8" s="329"/>
      <c r="H8" s="329"/>
      <c r="I8" s="329"/>
      <c r="J8" s="329"/>
      <c r="K8" s="329"/>
      <c r="L8" s="329"/>
      <c r="M8" s="329"/>
      <c r="N8" s="329"/>
      <c r="O8" s="329"/>
      <c r="P8" s="329"/>
    </row>
    <row r="9" spans="1:18" ht="12.75" x14ac:dyDescent="0.2">
      <c r="A9" s="329"/>
      <c r="B9" s="329"/>
      <c r="C9" s="389" t="s">
        <v>713</v>
      </c>
      <c r="D9" s="394" t="str">
        <f>COVER!A15</f>
        <v>Knox and 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327845</v>
      </c>
      <c r="I12" s="404"/>
      <c r="J12" s="404"/>
      <c r="K12" s="405">
        <f>TRUNC((H12/H13*100000),5)/100000</f>
        <v>0.61035411689999997</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537139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453802</v>
      </c>
      <c r="I17" s="404"/>
      <c r="J17" s="416"/>
      <c r="K17" s="405">
        <f>TRUNC((H17/H18*100000),5)/100000</f>
        <v>0.84485021559999995</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537139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237997</v>
      </c>
      <c r="I24" s="422"/>
      <c r="J24" s="422"/>
      <c r="K24" s="423">
        <f>TRUNC(((H24/H25*100000)/100000),2)</f>
        <v>188.8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1260.5611100000001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8" zoomScaleNormal="98" workbookViewId="0">
      <pane ySplit="2" topLeftCell="A9" activePane="bottomLeft" state="frozen"/>
      <selection pane="bottomLeft" activeCell="C9" sqref="C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237997</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116367</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354364</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97048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97048</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26519</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26519</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0</v>
      </c>
      <c r="D38" s="466">
        <v>0</v>
      </c>
      <c r="E38" s="466">
        <v>0</v>
      </c>
      <c r="F38" s="466">
        <v>0</v>
      </c>
      <c r="G38" s="466">
        <v>0</v>
      </c>
      <c r="H38" s="466">
        <v>0</v>
      </c>
      <c r="I38" s="466">
        <v>0</v>
      </c>
      <c r="J38" s="466">
        <v>0</v>
      </c>
      <c r="K38" s="466">
        <v>0</v>
      </c>
      <c r="L38" s="481"/>
      <c r="M38" s="497"/>
      <c r="N38" s="497"/>
    </row>
    <row r="39" spans="1:14" s="329" customFormat="1" ht="13.5" customHeight="1" x14ac:dyDescent="0.2">
      <c r="A39" s="496" t="s">
        <v>342</v>
      </c>
      <c r="B39" s="483">
        <v>730</v>
      </c>
      <c r="C39" s="466">
        <f>'Acct Summary 7-8'!C81-C38</f>
        <v>327845</v>
      </c>
      <c r="D39" s="466">
        <f>'Acct Summary 7-8'!D81-D38</f>
        <v>0</v>
      </c>
      <c r="E39" s="466">
        <f>'Acct Summary 7-8'!E81-E38</f>
        <v>0</v>
      </c>
      <c r="F39" s="466">
        <f>'Acct Summary 7-8'!F81-F38</f>
        <v>0</v>
      </c>
      <c r="G39" s="466">
        <f>'Acct Summary 7-8'!G81-G38</f>
        <v>0</v>
      </c>
      <c r="H39" s="466">
        <f>'Acct Summary 7-8'!H81-H38</f>
        <v>0</v>
      </c>
      <c r="I39" s="466">
        <f>'Acct Summary 7-8'!I81-I38</f>
        <v>0</v>
      </c>
      <c r="J39" s="466">
        <f>'Acct Summary 7-8'!J81-J38</f>
        <v>0</v>
      </c>
      <c r="K39" s="466">
        <f>'Acct Summary 7-8'!K81-K38</f>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97048</v>
      </c>
      <c r="N40" s="497"/>
    </row>
    <row r="41" spans="1:14" ht="13.5" customHeight="1" thickBot="1" x14ac:dyDescent="0.25">
      <c r="A41" s="1736" t="s">
        <v>655</v>
      </c>
      <c r="B41" s="1706"/>
      <c r="C41" s="1688">
        <f>(SUM(C34,C37,C38,C39))</f>
        <v>354364</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97048</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396703</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84048</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56388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537139</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537139</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333507</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92612</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27683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453802</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453802</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3" t="s">
        <v>1655</v>
      </c>
      <c r="B20" s="2124"/>
      <c r="C20" s="1746">
        <f>C8-C17</f>
        <v>83337</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83337</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1949</v>
      </c>
      <c r="B79" s="534"/>
      <c r="C79" s="478">
        <v>244508</v>
      </c>
      <c r="D79" s="535"/>
      <c r="E79" s="535"/>
      <c r="F79" s="535"/>
      <c r="G79" s="535"/>
      <c r="H79" s="535"/>
      <c r="I79" s="535"/>
      <c r="J79" s="535"/>
      <c r="K79" s="535"/>
      <c r="L79" s="347"/>
    </row>
    <row r="80" spans="1:12" x14ac:dyDescent="0.2">
      <c r="A80" s="2125" t="s">
        <v>1795</v>
      </c>
      <c r="B80" s="2126"/>
      <c r="C80" s="467">
        <v>0</v>
      </c>
      <c r="D80" s="467"/>
      <c r="E80" s="467"/>
      <c r="F80" s="467"/>
      <c r="G80" s="467"/>
      <c r="H80" s="467"/>
      <c r="I80" s="467"/>
      <c r="J80" s="467"/>
      <c r="K80" s="467"/>
      <c r="L80" s="347"/>
    </row>
    <row r="81" spans="1:12" ht="13.5" thickBot="1" x14ac:dyDescent="0.25">
      <c r="A81" s="2117" t="s">
        <v>1950</v>
      </c>
      <c r="B81" s="2118"/>
      <c r="C81" s="1688">
        <f>(SUM(C78:C80))</f>
        <v>327845</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83337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0.25419634278393755</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7" activePane="bottomLeft" state="frozen"/>
      <selection pane="bottomLeft" activeCell="C220" sqref="C22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323705</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323705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5168</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5168</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15800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15043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v>4668</v>
      </c>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32319</v>
      </c>
      <c r="D107" s="466"/>
      <c r="E107" s="466"/>
      <c r="F107" s="466"/>
      <c r="G107" s="466"/>
      <c r="H107" s="466"/>
      <c r="I107" s="466"/>
      <c r="J107" s="467"/>
      <c r="K107" s="466"/>
    </row>
    <row r="108" spans="1:12" ht="12.75" customHeight="1" thickBot="1" x14ac:dyDescent="0.25">
      <c r="A108" s="1708" t="s">
        <v>487</v>
      </c>
      <c r="B108" s="1712"/>
      <c r="C108" s="1707">
        <f>SUM(C95:C107)</f>
        <v>67830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396703</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84048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84048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84048</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84048</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56388</v>
      </c>
      <c r="D220" s="466"/>
      <c r="E220" s="468"/>
      <c r="F220" s="468"/>
      <c r="G220" s="466"/>
      <c r="H220" s="468"/>
      <c r="I220" s="468"/>
      <c r="J220" s="468"/>
      <c r="K220" s="468"/>
    </row>
    <row r="221" spans="1:11" ht="12.75" customHeight="1" thickBot="1" x14ac:dyDescent="0.25">
      <c r="A221" s="1723" t="s">
        <v>1085</v>
      </c>
      <c r="B221" s="1724"/>
      <c r="C221" s="1707">
        <f>SUM(C219:C220)</f>
        <v>56388</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56388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56388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537139</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intergral part of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02" activePane="bottomLeft" state="frozen"/>
      <selection pane="bottomLeft" activeCell="L82" sqref="L8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233480</v>
      </c>
      <c r="D13" s="466">
        <v>23119</v>
      </c>
      <c r="E13" s="466">
        <v>3220</v>
      </c>
      <c r="F13" s="466">
        <v>41207</v>
      </c>
      <c r="G13" s="466">
        <v>21390</v>
      </c>
      <c r="H13" s="466"/>
      <c r="I13" s="467">
        <v>11091</v>
      </c>
      <c r="J13" s="467"/>
      <c r="K13" s="1671">
        <f t="shared" si="0"/>
        <v>333507</v>
      </c>
      <c r="L13" s="466">
        <v>366918</v>
      </c>
    </row>
    <row r="14" spans="1:14" x14ac:dyDescent="0.2">
      <c r="A14" s="1504" t="s">
        <v>963</v>
      </c>
      <c r="B14" s="614">
        <v>1500</v>
      </c>
      <c r="C14" s="466"/>
      <c r="D14" s="466"/>
      <c r="E14" s="466"/>
      <c r="F14" s="466"/>
      <c r="G14" s="466"/>
      <c r="H14" s="466"/>
      <c r="I14" s="467"/>
      <c r="J14" s="467"/>
      <c r="K14" s="1671">
        <f t="shared" si="0"/>
        <v>0</v>
      </c>
      <c r="L14" s="466">
        <v>612</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233480</v>
      </c>
      <c r="D33" s="1670">
        <f t="shared" ref="D33:L33" si="1">SUM(D5:D32)</f>
        <v>23119</v>
      </c>
      <c r="E33" s="1670">
        <f t="shared" si="1"/>
        <v>3220</v>
      </c>
      <c r="F33" s="1670">
        <f t="shared" si="1"/>
        <v>41207</v>
      </c>
      <c r="G33" s="1670">
        <f t="shared" si="1"/>
        <v>21390</v>
      </c>
      <c r="H33" s="1670">
        <f t="shared" si="1"/>
        <v>0</v>
      </c>
      <c r="I33" s="1670">
        <f t="shared" si="1"/>
        <v>11091</v>
      </c>
      <c r="J33" s="1670">
        <f t="shared" si="1"/>
        <v>0</v>
      </c>
      <c r="K33" s="1670">
        <f t="shared" si="1"/>
        <v>333507</v>
      </c>
      <c r="L33" s="1670">
        <f t="shared" si="1"/>
        <v>367530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3722</v>
      </c>
      <c r="F44" s="481"/>
      <c r="G44" s="481"/>
      <c r="H44" s="481"/>
      <c r="I44" s="467"/>
      <c r="J44" s="467"/>
      <c r="K44" s="1672">
        <f>SUM(C44:J44)</f>
        <v>3722</v>
      </c>
      <c r="L44" s="481">
        <v>1800</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3722</v>
      </c>
      <c r="F47" s="1670">
        <f t="shared" si="4"/>
        <v>0</v>
      </c>
      <c r="G47" s="1670">
        <f t="shared" si="4"/>
        <v>0</v>
      </c>
      <c r="H47" s="1670">
        <f t="shared" si="4"/>
        <v>0</v>
      </c>
      <c r="I47" s="1670">
        <f t="shared" si="4"/>
        <v>0</v>
      </c>
      <c r="J47" s="1670">
        <f t="shared" si="4"/>
        <v>0</v>
      </c>
      <c r="K47" s="1670">
        <f t="shared" si="4"/>
        <v>3722</v>
      </c>
      <c r="L47" s="1670">
        <f>SUM(L44:L46)</f>
        <v>1800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0</v>
      </c>
      <c r="D53" s="1670">
        <f t="shared" ref="D53:L53" si="5">SUM(D49:D52)</f>
        <v>0</v>
      </c>
      <c r="E53" s="1670">
        <f t="shared" si="5"/>
        <v>0</v>
      </c>
      <c r="F53" s="1670">
        <f t="shared" si="5"/>
        <v>0</v>
      </c>
      <c r="G53" s="1670">
        <f t="shared" si="5"/>
        <v>0</v>
      </c>
      <c r="H53" s="1670">
        <f t="shared" si="5"/>
        <v>0</v>
      </c>
      <c r="I53" s="1670">
        <f t="shared" si="5"/>
        <v>0</v>
      </c>
      <c r="J53" s="1670">
        <f t="shared" si="5"/>
        <v>0</v>
      </c>
      <c r="K53" s="1670">
        <f t="shared" si="5"/>
        <v>0</v>
      </c>
      <c r="L53" s="1670">
        <f t="shared" si="5"/>
        <v>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36174</v>
      </c>
      <c r="D55" s="481">
        <v>11841</v>
      </c>
      <c r="E55" s="481">
        <v>165</v>
      </c>
      <c r="F55" s="481"/>
      <c r="G55" s="481"/>
      <c r="H55" s="481">
        <v>210</v>
      </c>
      <c r="I55" s="467"/>
      <c r="J55" s="467"/>
      <c r="K55" s="1672">
        <f>SUM(C55:J55)</f>
        <v>48390</v>
      </c>
      <c r="L55" s="481">
        <v>49056</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36174</v>
      </c>
      <c r="D57" s="1674">
        <f t="shared" ref="D57:K57" si="6">SUM(D55:D56)</f>
        <v>11841</v>
      </c>
      <c r="E57" s="1674">
        <f t="shared" si="6"/>
        <v>165</v>
      </c>
      <c r="F57" s="1674">
        <f t="shared" si="6"/>
        <v>0</v>
      </c>
      <c r="G57" s="1674">
        <f t="shared" si="6"/>
        <v>0</v>
      </c>
      <c r="H57" s="1674">
        <f t="shared" si="6"/>
        <v>210</v>
      </c>
      <c r="I57" s="1674">
        <f t="shared" si="6"/>
        <v>0</v>
      </c>
      <c r="J57" s="1674">
        <f t="shared" si="6"/>
        <v>0</v>
      </c>
      <c r="K57" s="1674">
        <f t="shared" si="6"/>
        <v>48390</v>
      </c>
      <c r="L57" s="1670">
        <f>SUM(L55:L56)</f>
        <v>49056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v>4000</v>
      </c>
      <c r="F60" s="466"/>
      <c r="G60" s="466"/>
      <c r="H60" s="466"/>
      <c r="I60" s="467"/>
      <c r="J60" s="467"/>
      <c r="K60" s="1672">
        <f t="shared" si="7"/>
        <v>4000</v>
      </c>
      <c r="L60" s="466">
        <v>3900</v>
      </c>
      <c r="M60" s="609"/>
      <c r="N60" s="609"/>
    </row>
    <row r="61" spans="1:14" s="343" customFormat="1" x14ac:dyDescent="0.2">
      <c r="A61" s="1504" t="s">
        <v>197</v>
      </c>
      <c r="B61" s="614">
        <v>2540</v>
      </c>
      <c r="C61" s="466"/>
      <c r="D61" s="466"/>
      <c r="E61" s="466">
        <v>35950</v>
      </c>
      <c r="F61" s="466"/>
      <c r="G61" s="466"/>
      <c r="H61" s="466"/>
      <c r="I61" s="467"/>
      <c r="J61" s="467"/>
      <c r="K61" s="1672">
        <f t="shared" si="7"/>
        <v>35950</v>
      </c>
      <c r="L61" s="466">
        <v>35950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v>550</v>
      </c>
      <c r="F64" s="481"/>
      <c r="G64" s="481"/>
      <c r="H64" s="481"/>
      <c r="I64" s="467"/>
      <c r="J64" s="467"/>
      <c r="K64" s="1672">
        <f t="shared" si="7"/>
        <v>550</v>
      </c>
      <c r="L64" s="481">
        <v>1000</v>
      </c>
    </row>
    <row r="65" spans="1:14" s="343" customFormat="1" ht="12.75" customHeight="1" thickBot="1" x14ac:dyDescent="0.25">
      <c r="A65" s="1668" t="s">
        <v>719</v>
      </c>
      <c r="B65" s="1669" t="s">
        <v>35</v>
      </c>
      <c r="C65" s="1670">
        <f>SUM(C59:C64)</f>
        <v>0</v>
      </c>
      <c r="D65" s="1670">
        <f t="shared" ref="D65:L65" si="8">SUM(D59:D64)</f>
        <v>0</v>
      </c>
      <c r="E65" s="1670">
        <f t="shared" si="8"/>
        <v>40500</v>
      </c>
      <c r="F65" s="1670">
        <f t="shared" si="8"/>
        <v>0</v>
      </c>
      <c r="G65" s="1670">
        <f t="shared" si="8"/>
        <v>0</v>
      </c>
      <c r="H65" s="1670">
        <f t="shared" si="8"/>
        <v>0</v>
      </c>
      <c r="I65" s="1670">
        <f t="shared" si="8"/>
        <v>0</v>
      </c>
      <c r="J65" s="1670">
        <f t="shared" si="8"/>
        <v>0</v>
      </c>
      <c r="K65" s="1670">
        <f t="shared" si="8"/>
        <v>40500</v>
      </c>
      <c r="L65" s="1670">
        <f t="shared" si="8"/>
        <v>40850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36174</v>
      </c>
      <c r="D74" s="1677">
        <f t="shared" ref="D74:K74" si="10">SUM(D42,D47,D53,D57,D65,D72,D73)</f>
        <v>11841</v>
      </c>
      <c r="E74" s="1677">
        <f t="shared" si="10"/>
        <v>44387</v>
      </c>
      <c r="F74" s="1677">
        <f t="shared" si="10"/>
        <v>0</v>
      </c>
      <c r="G74" s="1677">
        <f t="shared" si="10"/>
        <v>0</v>
      </c>
      <c r="H74" s="1677">
        <f t="shared" si="10"/>
        <v>210</v>
      </c>
      <c r="I74" s="1677">
        <f t="shared" si="10"/>
        <v>0</v>
      </c>
      <c r="J74" s="1677">
        <f t="shared" si="10"/>
        <v>0</v>
      </c>
      <c r="K74" s="1677">
        <f t="shared" si="10"/>
        <v>92612</v>
      </c>
      <c r="L74" s="1677">
        <f>SUM(L42,L47,L53,L57,L65,L72,L73)</f>
        <v>91706</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27683</v>
      </c>
      <c r="I81" s="477"/>
      <c r="J81" s="477"/>
      <c r="K81" s="1671">
        <f t="shared" si="11"/>
        <v>27683</v>
      </c>
      <c r="L81" s="466">
        <v>41165</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27683</v>
      </c>
      <c r="I84" s="477"/>
      <c r="J84" s="477"/>
      <c r="K84" s="1670">
        <f>SUM(K78:K83)</f>
        <v>27683</v>
      </c>
      <c r="L84" s="1670">
        <f>SUM(L78:L83)</f>
        <v>41165</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27683</v>
      </c>
      <c r="I102" s="477"/>
      <c r="J102" s="477"/>
      <c r="K102" s="1677">
        <f>SUM(K84,K92,K100,K101)</f>
        <v>27683</v>
      </c>
      <c r="L102" s="1677">
        <f>SUM(L84,L92,L100,L101)</f>
        <v>41165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269654</v>
      </c>
      <c r="D114" s="1670">
        <f t="shared" ref="D114:K114" si="13">SUM(D33,D74,D75,D102,D112,D113)</f>
        <v>34960</v>
      </c>
      <c r="E114" s="1670">
        <f t="shared" si="13"/>
        <v>47607</v>
      </c>
      <c r="F114" s="1670">
        <f t="shared" si="13"/>
        <v>41207</v>
      </c>
      <c r="G114" s="1670">
        <f t="shared" si="13"/>
        <v>21390</v>
      </c>
      <c r="H114" s="1670">
        <f>SUM(H33,H74,H75,H102,H112,H113)</f>
        <v>27893</v>
      </c>
      <c r="I114" s="1670">
        <f t="shared" si="13"/>
        <v>11091</v>
      </c>
      <c r="J114" s="1670">
        <f t="shared" si="13"/>
        <v>0</v>
      </c>
      <c r="K114" s="1670">
        <f t="shared" si="13"/>
        <v>453802</v>
      </c>
      <c r="L114" s="1670">
        <f>SUM(L33,L74,L75,L102,L112,L113)</f>
        <v>500401</v>
      </c>
    </row>
    <row r="115" spans="1:14" ht="13.5" thickTop="1" x14ac:dyDescent="0.2">
      <c r="A115" s="2153" t="s">
        <v>996</v>
      </c>
      <c r="B115" s="2154"/>
      <c r="C115" s="618"/>
      <c r="D115" s="618"/>
      <c r="E115" s="618"/>
      <c r="F115" s="618"/>
      <c r="G115" s="618"/>
      <c r="H115" s="618"/>
      <c r="I115" s="618"/>
      <c r="J115" s="618"/>
      <c r="K115" s="1684">
        <f>'Revenues 9-14'!C268-'Expenditures 15-22'!K114</f>
        <v>83337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3" t="s">
        <v>1178</v>
      </c>
      <c r="B152" s="2174"/>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3" t="s">
        <v>996</v>
      </c>
      <c r="B175" s="2154"/>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3" t="s">
        <v>996</v>
      </c>
      <c r="B211" s="2154"/>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3" t="s">
        <v>996</v>
      </c>
      <c r="B296" s="2154"/>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6" t="s">
        <v>996</v>
      </c>
      <c r="B343" s="216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3" t="s">
        <v>996</v>
      </c>
      <c r="B368" s="2154"/>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notes are an intergral part of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http://purl.org/dc/terms/"/>
    <ds:schemaRef ds:uri="http://www.w3.org/XML/1998/namespace"/>
    <ds:schemaRef ds:uri="http://purl.org/dc/elements/1.1/"/>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2019-09-16T18:20:56Z</cp:lastPrinted>
  <dcterms:created xsi:type="dcterms:W3CDTF">2003-10-29T19:06:34Z</dcterms:created>
  <dcterms:modified xsi:type="dcterms:W3CDTF">2019-10-25T20:51:31Z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