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FF10B596-2264-4AE4-93F9-2703E08690FD}"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6" r:id="rId28"/>
    <sheet name=" SEFA (2)" sheetId="187" r:id="rId29"/>
    <sheet name="SEFA NOTES" sheetId="173" r:id="rId30"/>
    <sheet name="SEFA NOTES (2)" sheetId="185"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'SEFA NOTES'!$A$1:$F$52</definedName>
    <definedName name="_xlnm.Print_Area" localSheetId="30">'SEFA NOTES (2)'!$A$1:$F$52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187" l="1"/>
  <c r="L12" i="187"/>
  <c r="L13" i="187"/>
  <c r="L14" i="187"/>
  <c r="E15" i="187"/>
  <c r="F15" i="187"/>
  <c r="G15" i="187"/>
  <c r="H15" i="187"/>
  <c r="I15" i="187"/>
  <c r="J15" i="187"/>
  <c r="K15" i="187"/>
  <c r="L15" i="187"/>
  <c r="E16" i="187"/>
  <c r="F16" i="187"/>
  <c r="G16" i="187"/>
  <c r="H16" i="187"/>
  <c r="I16" i="187"/>
  <c r="J16" i="187"/>
  <c r="K16" i="187"/>
  <c r="L16" i="187"/>
  <c r="E17" i="187"/>
  <c r="F17" i="187"/>
  <c r="G17" i="187"/>
  <c r="H17" i="187"/>
  <c r="I17" i="187"/>
  <c r="J17" i="187"/>
  <c r="K17" i="187"/>
  <c r="L17" i="187"/>
  <c r="L18" i="187"/>
  <c r="L19" i="187"/>
  <c r="L20" i="187"/>
  <c r="L21" i="187"/>
  <c r="L22" i="187"/>
  <c r="E23" i="187"/>
  <c r="F23" i="187"/>
  <c r="G23" i="187"/>
  <c r="L23" i="187" s="1"/>
  <c r="H23" i="187"/>
  <c r="I23" i="187"/>
  <c r="J23" i="187"/>
  <c r="K23" i="187"/>
  <c r="E24" i="187"/>
  <c r="F24" i="187"/>
  <c r="G24" i="187"/>
  <c r="L24" i="187" s="1"/>
  <c r="H24" i="187"/>
  <c r="I24" i="187"/>
  <c r="J24" i="187"/>
  <c r="K24" i="187"/>
  <c r="L25" i="187"/>
  <c r="L14" i="186"/>
  <c r="L15" i="186"/>
  <c r="E16" i="186"/>
  <c r="E20" i="186" s="1"/>
  <c r="F16" i="186"/>
  <c r="F20" i="186" s="1"/>
  <c r="G16" i="186"/>
  <c r="H16" i="186"/>
  <c r="I16" i="186"/>
  <c r="I20" i="186" s="1"/>
  <c r="L20" i="186" s="1"/>
  <c r="J16" i="186"/>
  <c r="J20" i="186" s="1"/>
  <c r="K16" i="186"/>
  <c r="L17" i="186"/>
  <c r="L18" i="186"/>
  <c r="E19" i="186"/>
  <c r="F19" i="186"/>
  <c r="G19" i="186"/>
  <c r="H19" i="186"/>
  <c r="I19" i="186"/>
  <c r="J19" i="186"/>
  <c r="K19" i="186"/>
  <c r="L19" i="186"/>
  <c r="G20" i="186"/>
  <c r="H20" i="186"/>
  <c r="K20" i="186"/>
  <c r="G21" i="186"/>
  <c r="H21" i="186"/>
  <c r="K21" i="186"/>
  <c r="G23" i="186"/>
  <c r="H23" i="186"/>
  <c r="K23" i="186"/>
  <c r="L27" i="187"/>
  <c r="B4" i="187"/>
  <c r="L26" i="187" l="1"/>
  <c r="J21" i="186"/>
  <c r="J23" i="186" s="1"/>
  <c r="F21" i="186"/>
  <c r="F23" i="186" s="1"/>
  <c r="L16" i="186"/>
  <c r="E23" i="186"/>
  <c r="I21" i="186"/>
  <c r="L21" i="186" s="1"/>
  <c r="E21" i="186"/>
  <c r="B4" i="186"/>
  <c r="I23" i="186" l="1"/>
  <c r="L23" i="186" s="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L27" i="186" l="1"/>
  <c r="L26" i="186"/>
  <c r="L25" i="186"/>
  <c r="L24" i="186"/>
  <c r="C33" i="173" l="1"/>
  <c r="C33" i="185"/>
  <c r="D25" i="185" l="1"/>
  <c r="D25" i="173"/>
  <c r="E34" i="185"/>
  <c r="A4" i="185"/>
  <c r="E12" i="108"/>
  <c r="E8" i="108"/>
  <c r="G38" i="174" l="1"/>
  <c r="D45" i="174" l="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E41" i="181"/>
  <c r="G41" i="181" s="1"/>
  <c r="E40" i="181"/>
  <c r="G40" i="181" s="1"/>
  <c r="E39" i="181"/>
  <c r="G39" i="181" s="1"/>
  <c r="E38" i="181"/>
  <c r="G38" i="181" s="1"/>
  <c r="E37" i="181"/>
  <c r="G37" i="181" s="1"/>
  <c r="E36" i="181"/>
  <c r="G36" i="181" s="1"/>
  <c r="E35" i="181"/>
  <c r="G35" i="181" s="1"/>
  <c r="E34" i="181"/>
  <c r="E33" i="181"/>
  <c r="G33" i="181" s="1"/>
  <c r="E32" i="181"/>
  <c r="G32" i="181" s="1"/>
  <c r="E31" i="181"/>
  <c r="G31" i="181" s="1"/>
  <c r="E30" i="181"/>
  <c r="E29" i="181"/>
  <c r="G29" i="181" s="1"/>
  <c r="E28" i="181"/>
  <c r="E27" i="181"/>
  <c r="G27" i="181" s="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5" l="1"/>
  <c r="B1" i="187"/>
  <c r="B1" i="186"/>
  <c r="A2" i="185"/>
  <c r="B2" i="187"/>
  <c r="B2" i="186"/>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8" i="127"/>
  <c r="B69"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5752" i="106"/>
  <c r="D5752" i="106" s="1"/>
  <c r="F46" i="34" l="1"/>
  <c r="J352" i="29"/>
  <c r="J367" i="29" s="1"/>
  <c r="B7245" i="106" s="1"/>
  <c r="D7245" i="106" s="1"/>
  <c r="F77" i="4"/>
  <c r="B3255" i="106" s="1"/>
  <c r="D3255" i="106" s="1"/>
  <c r="H365" i="29"/>
  <c r="B7242" i="106" s="1"/>
  <c r="D7242" i="106" s="1"/>
  <c r="F42" i="34"/>
  <c r="H342" i="29"/>
  <c r="J41" i="3"/>
  <c r="H76" i="4"/>
  <c r="B3298" i="106" s="1"/>
  <c r="D3298" i="106" s="1"/>
  <c r="D54" i="36"/>
  <c r="B7235" i="106"/>
  <c r="D7235" i="106" s="1"/>
  <c r="J77" i="4"/>
  <c r="B6262" i="106" s="1"/>
  <c r="D6262" i="106" s="1"/>
  <c r="K41" i="3"/>
  <c r="C129" i="29"/>
  <c r="B1225" i="106" s="1"/>
  <c r="D1225" i="106" s="1"/>
  <c r="D17" i="7"/>
  <c r="B4104" i="106" s="1"/>
  <c r="D4104" i="106" s="1"/>
  <c r="D6103" i="106"/>
  <c r="B3647" i="106"/>
  <c r="D3647" i="106" s="1"/>
  <c r="C352" i="29"/>
  <c r="B3621" i="106" s="1"/>
  <c r="D3621" i="106" s="1"/>
  <c r="K76" i="4"/>
  <c r="B3586" i="106" s="1"/>
  <c r="D3586" i="106" s="1"/>
  <c r="B1308" i="106"/>
  <c r="D1308" i="106" s="1"/>
  <c r="E174" i="29"/>
  <c r="B1309" i="106" s="1"/>
  <c r="D1309" i="106" s="1"/>
  <c r="D9" i="7"/>
  <c r="B1767" i="106" s="1"/>
  <c r="D1767" i="106" s="1"/>
  <c r="K28" i="118"/>
  <c r="O27" i="118" s="1"/>
  <c r="O29" i="118" s="1"/>
  <c r="F49" i="34"/>
  <c r="B3254" i="106"/>
  <c r="D3254" i="106" s="1"/>
  <c r="I24" i="12"/>
  <c r="L367" i="29"/>
  <c r="L342" i="29"/>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14" i="29" l="1"/>
  <c r="B757" i="106" s="1"/>
  <c r="D757" i="106" s="1"/>
  <c r="D44" i="36"/>
  <c r="C367" i="29"/>
  <c r="B3622" i="106" s="1"/>
  <c r="D3622" i="106" s="1"/>
  <c r="B1996" i="106"/>
  <c r="D1996" i="106" s="1"/>
  <c r="I26" i="12"/>
  <c r="B7741" i="106" s="1"/>
  <c r="D7741" i="106" s="1"/>
  <c r="B3568" i="106"/>
  <c r="D3568" i="106" s="1"/>
  <c r="D52" i="36"/>
  <c r="C151" i="29"/>
  <c r="B1226" i="106" s="1"/>
  <c r="D1226" i="106" s="1"/>
  <c r="F174" i="34"/>
  <c r="K342" i="29"/>
  <c r="F13" i="34" s="1"/>
  <c r="L16" i="11"/>
  <c r="B2061" i="106" s="1"/>
  <c r="D2061" i="106" s="1"/>
  <c r="L114" i="29"/>
  <c r="B2031" i="106"/>
  <c r="D203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8" i="4" l="1"/>
  <c r="B2595" i="106" s="1"/>
  <c r="D2595" i="106" s="1"/>
  <c r="F76" i="34"/>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35" i="171" l="1"/>
  <c r="D47" i="171" s="1"/>
  <c r="D49" i="1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<sst xmlns="http://schemas.openxmlformats.org/spreadsheetml/2006/main" count="5302" uniqueCount="2163">
  <si>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</si>
  <si>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</si>
  <si>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</si>
  <si>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</si>
  <si>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</si>
  <si>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</si>
  <si>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</si>
  <si>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</si>
  <si>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</si>
  <si>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</si>
  <si>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</si>
  <si>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</si>
  <si>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</si>
  <si>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</si>
  <si>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</si>
  <si>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</si>
  <si>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</si>
  <si>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</si>
  <si>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</si>
  <si>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</si>
  <si>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</si>
  <si>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</si>
  <si>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</si>
  <si>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</si>
  <si>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</si>
  <si>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</si>
  <si>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</si>
  <si>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</si>
  <si>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</si>
  <si>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</si>
  <si>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</si>
  <si>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</si>
  <si>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</si>
  <si>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</si>
  <si>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</si>
  <si>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</si>
  <si>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</si>
  <si>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</si>
  <si>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</si>
  <si>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</si>
  <si>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</si>
  <si>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</si>
  <si>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</si>
  <si>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</si>
  <si>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</si>
  <si>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</si>
  <si>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</si>
  <si>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</si>
  <si>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</si>
  <si>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</si>
  <si>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</si>
  <si>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</si>
  <si>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</si>
  <si>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</si>
  <si>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</si>
  <si>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</si>
  <si>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</si>
  <si>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</si>
  <si>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</si>
  <si>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</si>
  <si>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</si>
  <si>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</si>
  <si>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</si>
  <si>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</si>
  <si>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</si>
  <si>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</si>
  <si>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</si>
  <si>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</si>
  <si>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</si>
  <si>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</si>
  <si>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</si>
  <si>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</si>
  <si>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</si>
  <si>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</si>
  <si>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</si>
  <si>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</si>
  <si>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</si>
  <si>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</si>
  <si>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</si>
  <si>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</si>
  <si>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</si>
  <si>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</si>
  <si>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</si>
  <si>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</si>
  <si>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</si>
  <si>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</si>
  <si>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</si>
  <si>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</si>
  <si>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</si>
  <si>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</si>
  <si>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</si>
  <si>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</si>
  <si>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</si>
  <si>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</si>
  <si>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</si>
  <si>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</si>
  <si>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</si>
  <si>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</si>
  <si>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</si>
  <si>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</si>
  <si>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</si>
  <si>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</si>
  <si>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</si>
  <si>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</si>
  <si>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</si>
  <si>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</si>
  <si>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</si>
  <si>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</si>
  <si>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</si>
  <si>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</si>
  <si>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</si>
  <si>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</si>
  <si>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</si>
  <si>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</si>
  <si>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</si>
  <si>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</si>
  <si>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</si>
  <si>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</si>
  <si>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</si>
  <si>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</si>
  <si>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</si>
  <si>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</si>
  <si>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</si>
  <si>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</si>
  <si>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</si>
  <si>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</si>
  <si>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</si>
  <si>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</si>
  <si>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</si>
  <si>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</si>
  <si>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</si>
  <si>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</si>
  <si>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</si>
  <si>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</si>
  <si>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</si>
  <si>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</si>
  <si>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</si>
  <si>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</si>
  <si>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</si>
  <si>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</si>
  <si>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</si>
  <si>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</si>
  <si>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</si>
  <si>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</si>
  <si>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</si>
  <si>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</si>
  <si>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</si>
  <si>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</si>
  <si>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</si>
  <si>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</si>
  <si>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</si>
  <si>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</si>
  <si>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</si>
  <si>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</si>
  <si>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</si>
  <si>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</si>
  <si>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</si>
  <si>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</si>
  <si>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</si>
  <si>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</si>
  <si>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</si>
  <si>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</si>
  <si>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</si>
  <si>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</si>
  <si>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</si>
  <si>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</si>
  <si>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</si>
  <si>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</si>
  <si>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</si>
  <si>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</si>
  <si>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</si>
  <si>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</si>
  <si>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</si>
  <si>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</si>
  <si>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</si>
  <si>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</si>
  <si>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</si>
  <si>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</si>
  <si>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</si>
  <si>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</si>
  <si>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</si>
  <si>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</si>
  <si>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</si>
  <si>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</si>
  <si>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</si>
  <si>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</si>
  <si>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</si>
  <si>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</si>
  <si>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</si>
  <si>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</si>
  <si>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</si>
  <si>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</si>
  <si>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</si>
  <si>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</si>
  <si>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</si>
  <si>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</si>
  <si>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</si>
  <si>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</si>
  <si>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</si>
  <si>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</si>
  <si>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</si>
  <si>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</si>
  <si>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</si>
  <si>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</si>
  <si>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</si>
  <si>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</si>
  <si>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</si>
  <si>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</si>
  <si>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</si>
  <si>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</si>
  <si>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</si>
  <si>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</si>
  <si>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</si>
  <si>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</si>
  <si>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</si>
  <si>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</si>
  <si>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</si>
  <si>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</si>
  <si>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</si>
  <si>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</si>
  <si>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</si>
  <si>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</si>
  <si>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</si>
  <si>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</si>
  <si>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</si>
  <si>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</si>
  <si>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</si>
  <si>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</si>
  <si>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</si>
  <si>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</si>
  <si>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</si>
  <si>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</si>
  <si>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</si>
  <si>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</si>
  <si>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</si>
  <si>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</si>
  <si>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</si>
  <si>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</si>
  <si>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</si>
  <si>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</si>
  <si>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</si>
  <si>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</si>
  <si>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</si>
  <si>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</si>
  <si>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</si>
  <si>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</si>
  <si>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</si>
  <si>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</si>
  <si>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</si>
  <si>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</si>
  <si>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</si>
  <si>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</si>
  <si>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</si>
  <si>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</si>
  <si>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</si>
  <si>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</si>
  <si>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</si>
  <si>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</si>
  <si>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</si>
  <si>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</si>
  <si>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</si>
  <si>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</si>
  <si>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</si>
  <si>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</si>
  <si>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</si>
  <si>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</si>
  <si>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</si>
  <si>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</si>
  <si>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</si>
  <si>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</si>
  <si>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</si>
  <si>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</si>
  <si>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</si>
  <si>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</si>
  <si>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</si>
  <si>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</si>
  <si>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</si>
  <si>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</si>
  <si>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</si>
  <si>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</si>
  <si>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</si>
  <si>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</si>
  <si>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</si>
  <si>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</si>
  <si>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</si>
  <si>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</si>
  <si>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</si>
  <si>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</si>
  <si>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</si>
  <si>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</si>
  <si>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</si>
  <si>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</si>
  <si>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</si>
  <si>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</si>
  <si>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</si>
  <si>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</si>
  <si>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</si>
  <si>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</si>
  <si>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</si>
  <si>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</si>
  <si>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</si>
  <si>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</si>
  <si>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</si>
  <si>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</si>
  <si>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</si>
  <si>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</si>
  <si>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</si>
  <si>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</si>
  <si>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</si>
  <si>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</si>
  <si>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</si>
  <si>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</si>
  <si>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</si>
  <si>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</si>
  <si>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</si>
  <si>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</si>
  <si>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</si>
  <si>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</si>
  <si>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</si>
  <si>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</si>
  <si>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</si>
  <si>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</si>
  <si>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</si>
  <si>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</si>
  <si>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</si>
  <si>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</si>
  <si>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</si>
  <si>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</si>
  <si>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</si>
  <si>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</si>
  <si>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</si>
  <si>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</si>
  <si>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</si>
  <si>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</si>
  <si>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</si>
  <si>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</si>
  <si>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</si>
  <si>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</si>
  <si>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</si>
  <si>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</si>
  <si>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</si>
  <si>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</si>
  <si>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</si>
  <si>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</si>
  <si>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</si>
  <si>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</si>
  <si>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</si>
  <si>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</si>
  <si>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</si>
  <si>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</si>
  <si>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</si>
  <si>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</si>
  <si>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</si>
  <si>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</si>
  <si>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</si>
  <si>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</si>
  <si>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</si>
  <si>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</si>
  <si>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</si>
  <si>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</si>
  <si>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</si>
  <si>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</si>
  <si>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</si>
  <si>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</si>
  <si>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</si>
  <si>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</si>
  <si>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</si>
  <si>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</si>
  <si>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</si>
  <si>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</si>
  <si>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</si>
  <si>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</si>
  <si>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</si>
  <si>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</si>
  <si>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</si>
  <si>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</si>
  <si>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</si>
  <si>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</si>
  <si>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</si>
  <si>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</si>
  <si>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</si>
  <si>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</si>
  <si>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</si>
  <si>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</si>
  <si>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</si>
  <si>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</si>
  <si>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</si>
  <si>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</si>
  <si>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</si>
  <si>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</si>
  <si>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</si>
  <si>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</si>
  <si>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</si>
  <si>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</si>
  <si>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</si>
  <si>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</si>
  <si>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</si>
  <si>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</si>
  <si>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</si>
  <si>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</si>
  <si>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</si>
  <si>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</si>
  <si>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</si>
  <si>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</si>
  <si>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</si>
  <si>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</si>
  <si>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</si>
  <si>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</si>
  <si>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</si>
  <si>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</si>
  <si>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</si>
  <si>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</si>
  <si>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</si>
  <si>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</si>
  <si>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</si>
  <si>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</si>
  <si>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</si>
  <si>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</si>
  <si>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</si>
  <si>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</si>
  <si>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</si>
  <si>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</si>
  <si>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</si>
  <si>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</si>
  <si>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</si>
  <si>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</si>
  <si>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</si>
  <si>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</si>
  <si>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</si>
  <si>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</si>
  <si>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</si>
  <si>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</si>
  <si>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</si>
  <si>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</si>
  <si>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</si>
  <si>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</si>
  <si>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</si>
  <si>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</si>
  <si>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</si>
  <si>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</si>
  <si>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</si>
  <si>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</si>
  <si>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</si>
  <si>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</si>
  <si>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</si>
  <si>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</si>
  <si>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</si>
  <si>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</si>
  <si>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</si>
  <si>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</si>
  <si>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</si>
  <si>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</si>
  <si>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</si>
  <si>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</si>
  <si>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</si>
  <si>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</si>
  <si>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</si>
  <si>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</si>
  <si>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</si>
  <si>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</si>
  <si>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</si>
  <si>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</si>
  <si>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</si>
  <si>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</si>
  <si>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</si>
  <si>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</si>
  <si>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</si>
  <si>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</si>
  <si>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</si>
  <si>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</si>
  <si>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</si>
  <si>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</si>
  <si>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</si>
  <si>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</si>
  <si>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</si>
  <si>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</si>
  <si>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</si>
  <si>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</si>
  <si>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</si>
  <si>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</si>
  <si>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</si>
  <si>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</si>
  <si>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</si>
  <si>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</si>
  <si>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</si>
  <si>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</si>
  <si>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</si>
  <si>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</si>
  <si>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</si>
  <si>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</si>
  <si>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</si>
  <si>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</si>
  <si>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</si>
  <si>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</si>
  <si>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</si>
  <si>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</si>
  <si>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</si>
  <si>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</si>
  <si>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</si>
  <si>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</si>
  <si>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</si>
  <si>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</si>
  <si>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</si>
  <si>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</si>
  <si>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</si>
  <si>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</si>
  <si>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</si>
  <si>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</si>
  <si>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</si>
  <si>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</si>
  <si>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</si>
  <si>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</si>
  <si>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</si>
  <si>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</si>
  <si>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</si>
  <si>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</si>
  <si>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</si>
  <si>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</si>
  <si>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</si>
  <si>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</si>
  <si>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</si>
  <si>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</si>
  <si>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</si>
  <si>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</si>
  <si>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</si>
  <si>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</si>
  <si>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</si>
  <si>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</si>
  <si>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</si>
  <si>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</si>
  <si>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</si>
  <si>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</si>
  <si>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</si>
  <si>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</si>
  <si>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</si>
  <si>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</si>
  <si>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</si>
  <si>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</si>
  <si>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</si>
  <si>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</si>
  <si>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</si>
  <si>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</si>
  <si>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</si>
  <si>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</si>
  <si>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</si>
  <si>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</si>
  <si>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</si>
  <si>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</si>
  <si>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</si>
  <si>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</si>
  <si>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</si>
  <si>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</si>
  <si>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</si>
  <si>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</si>
  <si>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</si>
  <si>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</si>
  <si>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</si>
  <si>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</si>
  <si>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</si>
  <si>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</si>
  <si>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</si>
  <si>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</si>
  <si>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</si>
  <si>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</si>
  <si>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</si>
  <si>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</si>
  <si>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</si>
  <si>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</si>
  <si>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</si>
  <si>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</si>
  <si>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</si>
  <si>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</si>
  <si>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</si>
  <si>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</si>
  <si>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</si>
  <si>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</si>
  <si>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</si>
  <si>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</si>
  <si>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</si>
  <si>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</si>
  <si>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</si>
  <si>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</si>
  <si>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</si>
  <si>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</si>
  <si>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</si>
  <si>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</si>
  <si>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</si>
  <si>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</si>
  <si>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</si>
  <si>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</si>
  <si>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</si>
  <si>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</si>
  <si>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</si>
  <si>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</si>
  <si>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</si>
  <si>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</si>
  <si>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</si>
  <si>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</si>
  <si>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</si>
  <si>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</si>
  <si>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</si>
  <si>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</si>
  <si>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</si>
  <si>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</si>
  <si>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</si>
  <si>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</si>
  <si>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</si>
  <si>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</si>
  <si>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</si>
  <si>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</si>
  <si>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</si>
  <si>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</si>
  <si>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</si>
  <si>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</si>
  <si>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</si>
  <si>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</si>
  <si>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</si>
  <si>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</si>
  <si>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</si>
  <si>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</si>
  <si>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</si>
  <si>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</si>
  <si>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</si>
  <si>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</si>
  <si>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</si>
  <si>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</si>
  <si>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</si>
  <si>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</si>
  <si>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</si>
  <si>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</si>
  <si>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</si>
  <si>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</si>
  <si>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</si>
  <si>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</si>
  <si>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</si>
  <si>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</si>
  <si>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</si>
  <si>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</si>
  <si>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</si>
  <si>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</si>
  <si>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</si>
  <si>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</si>
  <si>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</si>
  <si>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</si>
  <si>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</si>
  <si>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</si>
  <si>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</si>
  <si>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</si>
  <si>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</si>
  <si>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</si>
  <si>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</si>
  <si>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</si>
  <si>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</si>
  <si>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</si>
  <si>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</si>
  <si>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</si>
  <si>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</si>
  <si>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</si>
  <si>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</si>
  <si>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</si>
  <si>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</si>
  <si>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</si>
  <si>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</si>
  <si>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</si>
  <si>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</si>
  <si>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</si>
  <si>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</si>
  <si>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</si>
  <si>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</si>
  <si>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</si>
  <si>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</si>
  <si>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</si>
  <si>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</si>
  <si>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</si>
  <si>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</si>
  <si>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</si>
  <si>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</si>
  <si>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</si>
  <si>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</si>
  <si>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</si>
  <si>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</si>
  <si>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</si>
  <si>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</si>
  <si>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</si>
  <si>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</si>
  <si>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</si>
  <si>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</si>
  <si>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</si>
  <si>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</si>
  <si>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</si>
  <si>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</si>
  <si>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</si>
  <si>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</si>
  <si>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</si>
  <si>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</si>
  <si>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</si>
  <si>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</si>
  <si>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</si>
  <si>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</si>
  <si>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</si>
  <si>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</si>
  <si>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</si>
  <si>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</si>
  <si>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</si>
  <si>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</si>
  <si>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</si>
  <si>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</si>
  <si>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</si>
  <si>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</si>
  <si>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</si>
  <si>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</si>
  <si>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</si>
  <si>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</si>
  <si>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</si>
  <si>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</si>
  <si>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</si>
  <si>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</si>
  <si>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</si>
  <si>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</si>
  <si>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</si>
  <si>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</si>
  <si>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</si>
  <si>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</si>
  <si>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</si>
  <si>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</si>
  <si>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</si>
  <si>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</si>
  <si>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</si>
  <si>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</si>
  <si>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</si>
  <si>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</si>
  <si>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</si>
  <si>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</si>
  <si>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</si>
  <si>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</si>
  <si>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</si>
  <si>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</si>
  <si>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</si>
  <si>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</si>
  <si>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</si>
  <si>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</si>
  <si>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</si>
  <si>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</si>
  <si>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</si>
  <si>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</si>
  <si>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</si>
  <si>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</si>
  <si>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</si>
  <si>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</si>
  <si>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</si>
  <si>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</si>
  <si>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</si>
  <si>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</si>
  <si>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</si>
  <si>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</si>
  <si>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</si>
  <si>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</si>
  <si>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</si>
  <si>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</si>
  <si>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</si>
  <si>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</si>
  <si>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</si>
  <si>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</si>
  <si>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</si>
  <si>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</si>
  <si>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</si>
  <si>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</si>
  <si>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</si>
  <si>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</si>
  <si>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</si>
  <si>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</si>
  <si>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</si>
  <si>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</si>
  <si>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</si>
  <si>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</si>
  <si>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</si>
  <si>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</si>
  <si>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</si>
  <si>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</si>
  <si>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</si>
  <si>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</si>
  <si>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</si>
  <si>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</si>
  <si>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</si>
  <si>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</si>
  <si>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</si>
  <si>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</si>
  <si>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</si>
  <si>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</si>
  <si>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</si>
  <si>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</si>
  <si>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</si>
  <si>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</si>
  <si>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</si>
  <si>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</si>
  <si>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</si>
  <si>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</si>
  <si>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</si>
  <si>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</si>
  <si>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</si>
  <si>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</si>
  <si>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</si>
  <si>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</si>
  <si>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</si>
  <si>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</si>
  <si>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</si>
  <si>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</si>
  <si>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</si>
  <si>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</si>
  <si>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</si>
  <si>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</si>
  <si>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</si>
  <si>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</si>
  <si>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</si>
  <si>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</si>
  <si>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</si>
  <si>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</si>
  <si>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</si>
  <si>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</si>
  <si>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</si>
  <si>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</si>
  <si>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</si>
  <si>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</si>
  <si>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</si>
  <si>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</si>
  <si>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</si>
  <si>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</si>
  <si>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</si>
  <si>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</si>
  <si>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</si>
  <si>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</si>
  <si>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</si>
  <si>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</si>
  <si>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</si>
  <si>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</si>
  <si>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</si>
  <si>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</si>
  <si>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</si>
  <si>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</si>
  <si>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</si>
  <si>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</si>
  <si>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</si>
  <si>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</si>
  <si>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</si>
  <si>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</si>
  <si>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</si>
  <si>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</si>
  <si>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</si>
  <si>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</si>
  <si>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</si>
  <si>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</si>
  <si>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</si>
  <si>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</si>
  <si>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</si>
  <si>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</si>
  <si>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</si>
  <si>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</si>
  <si>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</si>
  <si>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</si>
  <si>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</si>
  <si>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</si>
  <si>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</si>
  <si>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</si>
  <si>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</si>
  <si>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</si>
  <si>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</si>
  <si>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</si>
  <si>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</si>
  <si>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</si>
  <si>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</si>
  <si>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</si>
  <si>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</si>
  <si>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</si>
  <si>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</si>
  <si>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</si>
  <si>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</si>
  <si>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</si>
  <si>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</si>
  <si>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</si>
  <si>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</si>
  <si>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</si>
  <si>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</si>
  <si>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</si>
  <si>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</si>
  <si>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</si>
  <si>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</si>
  <si>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</si>
  <si>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</si>
  <si>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</si>
  <si>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</si>
  <si>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</si>
  <si>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</si>
  <si>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</si>
  <si>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</si>
  <si>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</si>
  <si>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</si>
  <si>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</si>
  <si>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</si>
  <si>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</si>
  <si>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</si>
  <si>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</si>
  <si>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</si>
  <si>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</si>
  <si>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</si>
  <si>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</si>
  <si>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</si>
  <si>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</si>
  <si>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</si>
  <si>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</si>
  <si>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</si>
  <si>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</si>
  <si>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</si>
  <si>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</si>
  <si>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</si>
  <si>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</si>
  <si>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</si>
  <si>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</si>
  <si>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</si>
  <si>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</si>
  <si>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</si>
  <si>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</si>
  <si>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</si>
  <si>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</si>
  <si>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</si>
  <si>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</si>
  <si>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</si>
  <si>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</si>
  <si>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</si>
  <si>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</si>
  <si>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</si>
  <si>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</si>
  <si>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</si>
  <si>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</si>
  <si>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</si>
  <si>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</si>
  <si>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</si>
  <si>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</si>
  <si>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</si>
  <si>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</si>
  <si>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</si>
  <si>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</si>
  <si>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</si>
  <si>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</si>
  <si>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</si>
  <si>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</si>
  <si>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</si>
  <si>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</si>
  <si>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</si>
  <si>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</si>
  <si>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</si>
  <si>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</si>
  <si>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</si>
  <si>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</si>
  <si>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</si>
  <si>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</si>
  <si>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</si>
  <si>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</si>
  <si>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</si>
  <si>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</si>
  <si>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</si>
  <si>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</si>
  <si>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</si>
  <si>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</si>
  <si>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</si>
  <si>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</si>
  <si>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</si>
  <si>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</si>
  <si>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</si>
  <si>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</si>
  <si>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</si>
  <si>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</si>
  <si>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</si>
  <si>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</si>
  <si>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</si>
  <si>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</si>
  <si>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</si>
  <si>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</si>
  <si>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</si>
  <si>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</si>
  <si>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</si>
  <si>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</si>
  <si>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</si>
  <si>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</si>
  <si>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</si>
  <si>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</si>
  <si>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</si>
  <si>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</si>
  <si>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</si>
  <si>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</si>
  <si>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</si>
  <si>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</si>
  <si>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</si>
  <si>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</si>
  <si>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</si>
  <si>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</si>
  <si>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</si>
  <si>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</si>
  <si>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</si>
  <si>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</si>
  <si>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</si>
  <si>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</si>
  <si>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</si>
  <si>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</si>
  <si>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</si>
  <si>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</si>
  <si>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</si>
  <si>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</si>
  <si>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</si>
  <si>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</si>
  <si>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</si>
  <si>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</si>
  <si>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</si>
  <si>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</si>
  <si>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</si>
  <si>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</si>
  <si>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</si>
  <si>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</si>
  <si>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</si>
  <si>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</si>
  <si>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</si>
  <si>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</si>
  <si>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</si>
  <si>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</si>
  <si>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</si>
  <si>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</si>
  <si>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</si>
  <si>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</si>
  <si>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</si>
  <si>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</si>
  <si>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</si>
  <si>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</si>
  <si>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</si>
  <si>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</si>
  <si>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</si>
  <si>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</si>
  <si>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</si>
  <si>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</si>
  <si>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</si>
  <si>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</si>
  <si>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</si>
  <si>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</si>
  <si>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</si>
  <si>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</si>
  <si>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</si>
  <si>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</si>
  <si>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</si>
  <si>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</si>
  <si>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</si>
  <si>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</si>
  <si>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</si>
  <si>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</si>
  <si>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</si>
  <si>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</si>
  <si>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</si>
  <si>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</si>
  <si>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</si>
  <si>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</si>
  <si>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</si>
  <si>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</si>
  <si>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</si>
  <si>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</si>
  <si>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</si>
  <si>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</si>
  <si>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</si>
  <si>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</si>
  <si>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</si>
  <si>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</si>
  <si>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</si>
  <si>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</si>
  <si>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</si>
  <si>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</si>
  <si>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</si>
  <si>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</si>
  <si>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</si>
  <si>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</si>
  <si>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</si>
  <si>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</si>
  <si>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</si>
  <si>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</si>
  <si>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</si>
  <si>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</si>
  <si>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</si>
  <si>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</si>
  <si>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</si>
  <si>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</si>
  <si>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</si>
  <si>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</si>
  <si>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</si>
  <si>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</si>
  <si>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</si>
  <si>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</si>
  <si>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</si>
  <si>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</si>
  <si>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</si>
  <si>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</si>
  <si>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</si>
  <si>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</si>
  <si>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</si>
  <si>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</si>
  <si>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</si>
  <si>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</si>
  <si>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</si>
  <si>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</si>
  <si>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</si>
  <si>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</si>
  <si>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</si>
  <si>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</si>
  <si>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</si>
  <si>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</si>
  <si>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</si>
  <si>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</si>
  <si>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</si>
  <si>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</si>
  <si>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</si>
  <si>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</si>
  <si>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</si>
  <si>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</si>
  <si>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</si>
  <si>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</si>
  <si>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</si>
  <si>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</si>
  <si>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</si>
  <si>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</si>
  <si>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</si>
  <si>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</si>
  <si>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</si>
  <si>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</si>
  <si>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</si>
  <si>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</si>
  <si>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</si>
  <si>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</si>
  <si>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</si>
  <si>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</si>
  <si>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</si>
  <si>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</si>
  <si>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</si>
  <si>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</si>
  <si>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</si>
  <si>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</si>
  <si>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</si>
  <si>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</si>
  <si>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</si>
  <si>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</si>
  <si>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</si>
  <si>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</si>
  <si>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</si>
  <si>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</si>
  <si>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</si>
  <si>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</si>
  <si>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</si>
  <si>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</si>
  <si>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</si>
  <si>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</si>
  <si>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</si>
  <si>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</si>
  <si>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</si>
  <si>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</si>
  <si>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</si>
  <si>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</si>
  <si>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</si>
  <si>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</si>
  <si>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</si>
  <si>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</si>
  <si>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</si>
  <si>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</si>
  <si>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</si>
  <si>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</si>
  <si>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</si>
  <si>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</si>
  <si>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</si>
  <si>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</si>
  <si>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</si>
  <si>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</si>
  <si>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</si>
  <si>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</si>
  <si>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</si>
  <si>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</si>
  <si>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</si>
  <si>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</si>
  <si>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</si>
  <si>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</si>
  <si>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</si>
  <si>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</si>
  <si>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</si>
  <si>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</si>
  <si>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</si>
  <si>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</si>
  <si>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</si>
  <si>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</si>
  <si>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</si>
  <si>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</si>
  <si>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</si>
  <si>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</si>
  <si>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</si>
  <si>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</si>
  <si>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</si>
  <si>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</si>
  <si>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</si>
  <si>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</si>
  <si>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</si>
  <si>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</si>
  <si>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</si>
  <si>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</si>
  <si>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</si>
  <si>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</si>
  <si>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</si>
  <si>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</si>
  <si>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</si>
  <si>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</si>
  <si>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</si>
  <si>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</si>
  <si>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</si>
  <si>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</si>
  <si>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</si>
  <si>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</si>
  <si>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</si>
  <si>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</si>
  <si>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</si>
  <si>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</si>
  <si>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</si>
  <si>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</si>
  <si>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</si>
  <si>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</si>
  <si>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</si>
  <si>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</si>
  <si>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</si>
  <si>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</si>
  <si>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</si>
  <si>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</si>
  <si>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</si>
  <si>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</si>
  <si>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</si>
  <si>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</si>
  <si>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</si>
  <si>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</si>
  <si>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</si>
  <si>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</si>
  <si>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</si>
  <si>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</si>
  <si>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</si>
  <si>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</si>
  <si>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</si>
  <si>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</si>
  <si>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</si>
  <si>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</si>
  <si>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</si>
  <si>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</si>
  <si>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</si>
  <si>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</si>
  <si>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</si>
  <si>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</si>
  <si>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</si>
  <si>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</si>
  <si>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</si>
  <si>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</si>
  <si>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</si>
  <si>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</si>
  <si>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</si>
  <si>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</si>
  <si>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</si>
  <si>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</si>
  <si>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</si>
  <si>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</si>
  <si>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</si>
  <si>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</si>
  <si>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</si>
  <si>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</si>
  <si>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</si>
  <si>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</si>
  <si>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</si>
  <si>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</si>
  <si>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</si>
  <si>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</si>
  <si>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</si>
  <si>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</si>
  <si>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</si>
  <si>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</si>
  <si>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</si>
  <si>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</si>
  <si>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</si>
  <si>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</si>
  <si>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</si>
  <si>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</si>
  <si>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</si>
  <si>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</si>
  <si>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</si>
  <si>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</si>
  <si>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</si>
  <si>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</si>
  <si>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</si>
  <si>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</si>
  <si>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</si>
  <si>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</si>
  <si>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</si>
  <si>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</si>
  <si>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</si>
  <si>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</si>
  <si>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</si>
  <si>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</si>
  <si>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</si>
  <si>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</si>
  <si>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</si>
  <si>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</si>
  <si>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</si>
  <si>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</si>
  <si>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</si>
  <si>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</si>
  <si>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</si>
  <si>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</si>
  <si>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</si>
  <si>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</si>
  <si>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</si>
  <si>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</si>
  <si>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</si>
  <si>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</si>
  <si>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</si>
  <si>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</si>
  <si>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</si>
  <si>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</si>
  <si>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</si>
  <si>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</si>
  <si>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</si>
  <si>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</si>
  <si>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</si>
  <si>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</si>
  <si>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</si>
  <si>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</si>
  <si>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</si>
  <si>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</si>
  <si>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</si>
  <si>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</si>
  <si>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</si>
  <si>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</si>
  <si>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</si>
  <si>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</si>
  <si>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</si>
  <si>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</si>
  <si>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</si>
  <si>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</si>
  <si>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</si>
  <si>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</si>
  <si>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</si>
  <si>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</si>
  <si>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</si>
  <si>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</si>
  <si>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</si>
  <si>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</si>
  <si>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</si>
  <si>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</si>
  <si>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</si>
  <si>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</si>
  <si>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</si>
  <si>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</si>
  <si>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</si>
  <si>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</si>
  <si>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</si>
  <si>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</si>
  <si>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</si>
  <si>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</si>
  <si>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</si>
  <si>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</si>
  <si>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</si>
  <si>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</si>
  <si>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</si>
  <si>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</si>
  <si>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</si>
  <si>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</si>
  <si>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</si>
  <si>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</si>
  <si>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</si>
  <si>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</si>
  <si>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</si>
  <si>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</si>
  <si>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</si>
  <si>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</si>
  <si>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</si>
  <si>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</si>
  <si>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</si>
  <si>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</si>
  <si>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</si>
  <si>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</si>
  <si>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</si>
  <si>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</si>
  <si>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</si>
  <si>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</si>
  <si>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</si>
  <si>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</si>
  <si>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</si>
  <si>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</si>
  <si>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</si>
  <si>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</si>
  <si>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</si>
  <si>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</si>
  <si>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</si>
  <si>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</si>
  <si>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</si>
  <si>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</si>
  <si>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</si>
  <si>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</si>
  <si>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</si>
  <si>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</si>
  <si>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</si>
  <si>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</si>
  <si>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</si>
  <si>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</si>
  <si>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</si>
  <si>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</si>
  <si>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</si>
  <si>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</si>
  <si>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</si>
  <si>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</si>
  <si>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</si>
  <si>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</si>
  <si>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</si>
  <si>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</si>
  <si>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</si>
  <si>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</si>
  <si>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</si>
  <si>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</si>
  <si>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</si>
  <si>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</si>
  <si>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</si>
  <si>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</si>
  <si>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</si>
  <si>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</si>
  <si>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</si>
  <si>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</si>
  <si>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</si>
  <si>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</si>
  <si>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</si>
  <si>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</si>
  <si>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</si>
  <si>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</si>
  <si>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</si>
  <si>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</si>
  <si>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</si>
  <si>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</si>
  <si>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</si>
  <si>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</si>
  <si>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</si>
  <si>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</si>
  <si>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</si>
  <si>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</si>
  <si>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</si>
  <si>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</si>
  <si>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</si>
  <si>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</si>
  <si>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</si>
  <si>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</si>
  <si>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</si>
  <si>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</si>
  <si>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</si>
  <si>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</si>
  <si>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</si>
  <si>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</si>
  <si>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</si>
  <si>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</si>
  <si>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</si>
  <si>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</si>
  <si>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</si>
  <si>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</si>
  <si>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</si>
  <si>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</si>
  <si>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</si>
  <si>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</si>
  <si>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</si>
  <si>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</si>
  <si>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</si>
  <si>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</si>
  <si>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</si>
  <si>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</si>
  <si>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</si>
  <si>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</si>
  <si>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</si>
  <si>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</si>
  <si>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</si>
  <si>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</si>
  <si>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</si>
  <si>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</si>
  <si>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</si>
  <si>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</si>
  <si>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</si>
  <si>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</si>
  <si>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</si>
  <si>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</si>
  <si>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</si>
  <si>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</si>
  <si>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</si>
  <si>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</si>
  <si>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</si>
  <si>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</si>
  <si>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</si>
  <si>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</si>
  <si>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</si>
  <si>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</si>
  <si>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</si>
  <si>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</si>
  <si>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</si>
  <si>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</si>
  <si>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</si>
  <si>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</si>
  <si>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</si>
  <si>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</si>
  <si>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</si>
  <si>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</si>
  <si>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</si>
  <si>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</si>
  <si>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</si>
  <si>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</si>
  <si>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</si>
  <si>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</si>
  <si>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</si>
  <si>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</si>
  <si>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</si>
  <si>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</si>
  <si>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</si>
  <si>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</si>
  <si>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</si>
  <si>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</si>
  <si>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</si>
  <si>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</si>
  <si>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</si>
  <si>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</si>
  <si>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</si>
  <si>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</si>
  <si>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</si>
  <si>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</si>
  <si>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</si>
  <si>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</si>
  <si>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</si>
  <si>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</si>
  <si>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</si>
  <si>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</si>
  <si>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</si>
  <si>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</si>
  <si>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</si>
  <si>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</si>
  <si>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</si>
  <si>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</si>
  <si>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</si>
  <si>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</si>
  <si>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</si>
  <si>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</si>
  <si>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</si>
  <si>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</si>
  <si>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</si>
  <si>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</si>
  <si>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</si>
  <si>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</si>
  <si>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</si>
  <si>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</si>
  <si>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</si>
  <si>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</si>
  <si>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</si>
  <si>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</si>
  <si>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</si>
  <si>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</si>
  <si>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</si>
  <si>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</si>
  <si>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</si>
  <si>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</si>
  <si>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</si>
  <si>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</si>
  <si>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</si>
  <si>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</si>
  <si>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</si>
  <si>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</si>
  <si>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</si>
  <si>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</si>
  <si>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</si>
  <si>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</si>
  <si>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</si>
  <si>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</si>
  <si>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</si>
  <si>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</si>
  <si>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</si>
  <si>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</si>
  <si>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</si>
  <si>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</si>
  <si>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</si>
  <si>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</si>
  <si>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</si>
  <si>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</si>
  <si>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</si>
  <si>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</si>
  <si>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</si>
  <si>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</si>
  <si>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</si>
  <si>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</si>
  <si>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</si>
  <si>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</si>
  <si>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</si>
  <si>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</si>
  <si>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</si>
  <si>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</si>
  <si>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</si>
  <si>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</si>
  <si>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</si>
  <si>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</si>
  <si>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</si>
  <si>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</si>
  <si>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</si>
  <si>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</si>
  <si>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</si>
  <si>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</si>
  <si>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</si>
  <si>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</si>
  <si>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</si>
  <si>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</si>
  <si>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</si>
  <si>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</si>
  <si>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</si>
  <si>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</si>
  <si>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</si>
  <si>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</si>
  <si>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</si>
  <si>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</si>
  <si>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</si>
  <si>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</si>
  <si>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</si>
  <si>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</si>
  <si>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</si>
  <si>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</si>
  <si>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</si>
  <si>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</si>
  <si>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</si>
  <si>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</si>
  <si>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</si>
  <si>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</si>
  <si>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</si>
  <si>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</si>
  <si>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</si>
  <si>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</si>
  <si>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</si>
  <si>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</si>
  <si>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</si>
  <si>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</si>
  <si>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</si>
  <si>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</si>
  <si>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</si>
  <si>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</si>
  <si>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</si>
  <si>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</si>
  <si>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</si>
  <si>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</si>
  <si>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</si>
  <si>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</si>
  <si>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</si>
  <si>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</si>
  <si>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</si>
  <si>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</si>
  <si>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</si>
  <si>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</si>
  <si>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</si>
  <si>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</si>
  <si>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</si>
  <si>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</si>
  <si>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</si>
  <si>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</si>
  <si>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</si>
  <si>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</si>
  <si>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</si>
  <si>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</si>
  <si>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</si>
  <si>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</si>
  <si>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</si>
  <si>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</si>
  <si>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</si>
  <si>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</si>
  <si>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</si>
  <si>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</si>
  <si>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</si>
  <si>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</si>
  <si>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</si>
  <si>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</si>
  <si>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</si>
  <si>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</si>
  <si>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</si>
  <si>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</si>
  <si>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</si>
  <si>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</si>
  <si>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</si>
  <si>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</si>
  <si>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</si>
  <si>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</si>
  <si>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</si>
  <si>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</si>
  <si>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</si>
  <si>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</si>
  <si>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</si>
  <si>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</si>
  <si>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</si>
  <si>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</si>
  <si>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</si>
  <si>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</si>
  <si>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</si>
  <si>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</si>
  <si>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</si>
  <si>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</si>
  <si>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</si>
  <si>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</si>
  <si>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</si>
  <si>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</si>
  <si>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</si>
  <si>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</si>
  <si>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</si>
  <si>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</si>
  <si>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</si>
  <si>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</si>
  <si>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</si>
  <si>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</si>
  <si>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</si>
  <si>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</si>
  <si>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</si>
  <si>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</si>
  <si>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</si>
  <si>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</si>
  <si>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</si>
  <si>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</si>
  <si>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</si>
  <si>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</si>
  <si>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</si>
  <si>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</si>
  <si>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</si>
  <si>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</si>
  <si>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</si>
  <si>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</si>
  <si>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</si>
  <si>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</si>
  <si>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</si>
  <si>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</si>
  <si>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</si>
  <si>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</si>
  <si>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</si>
  <si>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</si>
  <si>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</si>
  <si>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</si>
  <si>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</si>
  <si>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</si>
  <si>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</si>
  <si>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</si>
  <si>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</si>
  <si>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</si>
  <si>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</si>
  <si>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</si>
  <si>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</si>
  <si>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</si>
  <si>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</si>
  <si>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</si>
  <si>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</si>
  <si>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</si>
  <si>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</si>
  <si>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</si>
  <si>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</si>
  <si>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</si>
  <si>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</si>
  <si>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</si>
  <si>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</si>
  <si>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</si>
  <si>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</si>
  <si>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</si>
  <si>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</si>
  <si>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</si>
  <si>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</si>
  <si>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</si>
  <si>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</si>
  <si>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</si>
  <si>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</si>
  <si>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</si>
  <si>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</si>
  <si>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</si>
  <si>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</si>
  <si>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</si>
  <si>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</si>
  <si>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</si>
  <si>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</si>
  <si>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</si>
  <si>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</si>
  <si>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</si>
  <si>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</si>
  <si>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</si>
  <si>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</si>
  <si>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</si>
  <si>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</si>
  <si>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</si>
  <si>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</si>
  <si>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</si>
  <si>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</si>
  <si>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</si>
  <si>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</si>
  <si>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</si>
  <si>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</si>
  <si>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</si>
  <si>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</si>
  <si>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</si>
  <si>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</si>
  <si>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</si>
  <si>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</si>
  <si>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</si>
  <si>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</si>
  <si>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</si>
  <si>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</si>
  <si>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</si>
  <si>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</si>
  <si>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</si>
  <si>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</si>
  <si>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</si>
  <si>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</si>
  <si>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</si>
  <si>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</si>
  <si>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</si>
  <si>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</si>
  <si>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</si>
  <si>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</si>
  <si>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</si>
  <si>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</si>
  <si>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</si>
  <si>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</si>
  <si>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</si>
  <si>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</si>
  <si>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</si>
  <si>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</si>
  <si>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</si>
  <si>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</si>
  <si>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</si>
  <si>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</si>
  <si>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</si>
  <si>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</si>
  <si>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</si>
  <si>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</si>
  <si>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</si>
  <si>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</si>
  <si>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</si>
  <si>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</si>
  <si>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</si>
  <si>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</si>
  <si>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</si>
  <si>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</si>
  <si>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</si>
  <si>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</si>
  <si>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</si>
  <si>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</si>
  <si>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</si>
  <si>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</si>
  <si>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</si>
  <si>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</si>
  <si>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</si>
  <si>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</si>
  <si>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</si>
  <si>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</si>
  <si>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</si>
  <si>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</si>
  <si>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</si>
  <si>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</si>
  <si>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</si>
  <si>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</si>
  <si>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</si>
  <si>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</si>
  <si>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</si>
  <si>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</si>
  <si>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</si>
  <si>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</si>
  <si>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</si>
  <si>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</si>
  <si>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</si>
  <si>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</si>
  <si>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</si>
  <si>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</si>
  <si>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</si>
  <si>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</si>
  <si>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</si>
  <si>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</si>
  <si>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</si>
  <si>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</si>
  <si>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</si>
  <si>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</si>
  <si>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</si>
  <si>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</si>
  <si>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</si>
  <si>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</si>
  <si>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</si>
  <si>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</si>
  <si>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</si>
  <si>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</si>
  <si>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</si>
  <si>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</si>
  <si>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</si>
  <si>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</si>
  <si>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</si>
  <si>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</si>
  <si>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</si>
  <si>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</si>
  <si>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</si>
  <si>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</si>
  <si>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</si>
  <si>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</si>
  <si>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</si>
  <si>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</si>
  <si>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</si>
  <si>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</si>
  <si>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</si>
  <si>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</si>
  <si>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</si>
  <si>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</si>
  <si>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</si>
  <si>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</si>
  <si>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</si>
  <si>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</si>
  <si>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</si>
  <si>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</si>
  <si>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</si>
  <si>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</si>
  <si>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</si>
  <si>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</si>
  <si>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</si>
  <si>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</si>
  <si>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</si>
  <si>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</si>
  <si>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</si>
  <si>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</si>
  <si>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</si>
  <si>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</si>
  <si>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</si>
  <si>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</si>
  <si>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</si>
  <si>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</si>
  <si>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</si>
  <si>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</si>
  <si>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</si>
  <si>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</si>
  <si>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</si>
  <si>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</si>
  <si>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</si>
  <si>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</si>
  <si>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</si>
  <si>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</si>
  <si>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</si>
  <si>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</si>
  <si>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</si>
  <si>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</si>
  <si>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</si>
  <si>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</si>
  <si>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</si>
  <si>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</si>
  <si>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</si>
  <si>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</si>
  <si>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</si>
  <si>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</si>
  <si>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</si>
  <si>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</si>
  <si>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</si>
  <si>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</si>
  <si>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</si>
  <si>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</si>
  <si>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</si>
  <si>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</si>
  <si>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</si>
  <si>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</si>
  <si>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</si>
  <si>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</si>
  <si>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</si>
  <si>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</si>
  <si>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</si>
  <si>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</si>
  <si>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</si>
  <si>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</si>
  <si>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</si>
  <si>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</si>
  <si>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</si>
  <si>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</si>
  <si>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</si>
  <si>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</si>
  <si>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</si>
  <si>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</si>
  <si>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</si>
  <si>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</si>
  <si>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</si>
  <si>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</si>
  <si>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</si>
  <si>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</si>
  <si>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</si>
  <si>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</si>
  <si>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</si>
  <si>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</si>
  <si>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</si>
  <si>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</si>
  <si>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</si>
  <si>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</si>
  <si>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</si>
  <si>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</si>
  <si>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</si>
  <si>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</si>
  <si>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</si>
  <si>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</si>
  <si>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</si>
  <si>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</si>
  <si>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</si>
  <si>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</si>
  <si>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</si>
  <si>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</si>
  <si>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</si>
  <si>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</si>
  <si>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</si>
  <si>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</si>
  <si>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</si>
  <si>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</si>
  <si>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</si>
  <si>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</si>
  <si>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</si>
  <si>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</si>
  <si>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</si>
  <si>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</si>
  <si>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</si>
  <si>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</si>
  <si>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</si>
  <si>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</si>
  <si>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</si>
  <si>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</si>
  <si>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</si>
  <si>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</si>
  <si>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</si>
  <si>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</si>
  <si>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</si>
  <si>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</si>
  <si>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</si>
  <si>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</si>
  <si>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</si>
  <si>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</si>
  <si>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</si>
  <si>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</si>
  <si>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</si>
  <si>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</si>
  <si>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</si>
  <si>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</si>
  <si>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</si>
  <si>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</si>
  <si>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</si>
  <si>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</si>
  <si>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</si>
  <si>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</si>
  <si>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</si>
  <si>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</si>
  <si>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</si>
  <si>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</si>
  <si>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</si>
  <si>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</si>
  <si>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</si>
  <si>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</si>
  <si>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</si>
  <si>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</si>
  <si>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</si>
  <si>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</si>
  <si>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</si>
  <si>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</si>
  <si>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</si>
  <si>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</si>
  <si>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</si>
  <si>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</si>
  <si>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</si>
  <si>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</si>
  <si>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Kankakee/Iroquois</t>
  </si>
  <si>
    <t>P.O. Box 71</t>
  </si>
  <si>
    <t>St. Anne</t>
  </si>
  <si>
    <t>Smith, Koelling, Dykstra &amp; Ohm, P.C.</t>
  </si>
  <si>
    <t>Carmen Huizenga</t>
  </si>
  <si>
    <t>1605 North Convent</t>
  </si>
  <si>
    <t>Bourbonnais</t>
  </si>
  <si>
    <t>IL</t>
  </si>
  <si>
    <t>815-937-1997</t>
  </si>
  <si>
    <t>815-935-0360</t>
  </si>
  <si>
    <t>066-005281</t>
  </si>
  <si>
    <t>carmenh@skdocpa.com</t>
  </si>
  <si>
    <t>Debra Quain</t>
  </si>
  <si>
    <t>quiand@kasec.org</t>
  </si>
  <si>
    <t>815-422-4151</t>
  </si>
  <si>
    <t>815-427-8409</t>
  </si>
  <si>
    <t>Dr. Gregg Murphy</t>
  </si>
  <si>
    <t>gmurphy@i-kan.org</t>
  </si>
  <si>
    <t>815-937-2950</t>
  </si>
  <si>
    <t>815-937-2921</t>
  </si>
  <si>
    <t>x</t>
  </si>
  <si>
    <t>The director inadvertently left her own name off of the list sent to the County Clerk and therefore did not receive a notification for filing. She filed her statement of economic interest with the County Clerk on August 15, 2019.</t>
  </si>
  <si>
    <t>Outsourced</t>
  </si>
  <si>
    <t>St. Anne Grade School, St. Anne HS</t>
  </si>
  <si>
    <t>St. Anne Grade School</t>
  </si>
  <si>
    <t>Central, Grant Park, Bradley Elem., St. Anne Grade School, St. George, (below)</t>
  </si>
  <si>
    <t>Bulk paper order - Central, Grant Park, Bradley Elem, St. George, (below)</t>
  </si>
  <si>
    <t>Special Education Cooperatives - Pembroke, St. Anne High School</t>
  </si>
  <si>
    <t>Plus Admin Fee for Medicaid - Administrative Outreach, which is recorded</t>
  </si>
  <si>
    <t>as federal revenues and expenditures on the SEFA</t>
  </si>
  <si>
    <t>IDEA Part B Flow-Through</t>
  </si>
  <si>
    <t>Central Community Unit #4</t>
  </si>
  <si>
    <t>Grant Park Community #6</t>
  </si>
  <si>
    <t>Bradley Elementary District #61</t>
  </si>
  <si>
    <t>St. Anne Elementary District #256</t>
  </si>
  <si>
    <t>St. George Community Elementary #258</t>
  </si>
  <si>
    <t>Pembroke Community Elementary #259</t>
  </si>
  <si>
    <t>St. Anne Community High School #302</t>
  </si>
  <si>
    <t>Total IDEA Part B Flow-Through</t>
  </si>
  <si>
    <t>(continued)</t>
  </si>
  <si>
    <r>
      <t xml:space="preserve">Of the federal expenditures presented in the schedule, </t>
    </r>
    <r>
      <rPr>
        <b/>
        <sz val="9"/>
        <rFont val="Calibri"/>
        <family val="2"/>
        <scheme val="minor"/>
      </rPr>
      <t>KASEC</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</si>
  <si>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Kankakee Area Special Education Cooperative (KASEC)</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</si>
  <si>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(continued from previous page)</t>
  </si>
  <si>
    <t>IDEA Preschool</t>
  </si>
  <si>
    <t>Total IDEA Preschool</t>
  </si>
  <si>
    <t>Adverse (GAAP Basis); Unmodified (Regulatory Basis)</t>
  </si>
  <si>
    <t>Unmodified</t>
  </si>
  <si>
    <t>84.027, 84.173</t>
  </si>
  <si>
    <t>Special Education (IDEA) Cluster</t>
  </si>
  <si>
    <t>NONE</t>
  </si>
  <si>
    <t>n/a</t>
  </si>
  <si>
    <t>#1999 - Other Local Revenues: $80.00 Miscellaneous Receipts</t>
  </si>
  <si>
    <t>#3999 - Other Restricted Revenue from State Sources: $401 Reclass State Revenues; $3,978 Reclass STEP grant to state revenue = $4,379</t>
  </si>
  <si>
    <t>#2190 - Ed Fund: Other Support Services-Pupils: (100) $21,646 Behavior Intervenist; $1,842 Adaptive PE Teacher = $23,488</t>
  </si>
  <si>
    <t>#2190 - Ed Fund: Other Support Services-Pupils: (200) Adaptive PE Teacher IMRF $191; Adaptive PE Teacher FICA $82; Adaptive PE</t>
  </si>
  <si>
    <t>Teacher Medicare $1; Behavior Intervenist Medicare $358; Adaptive PE Teacher TRS $1; Behavior Intervinist TRS $147; Adaptive PE Teacher</t>
  </si>
  <si>
    <t xml:space="preserve">THIS $1; Behavior Intervenist THIS $611; Adaptive PE Teacher Flex $1; Behavior Intervenist $44; Adaptive PE Teacher (ML) $3; </t>
  </si>
  <si>
    <t>Behavior Intervenist Life $28; Adaptive PE Medical Ins $114; Behavior Intervenist Medical $2,314; Adaptive PE Teacher (VisB) $1 = $3,897</t>
  </si>
  <si>
    <t>#2190 - Ed Fund: Other Support Services-Pupils: (300) $172 Travel KM</t>
  </si>
  <si>
    <t>#2190 - Ed Fund: Other Support Services-Pupils: (400) $480 Supplies KM</t>
  </si>
  <si>
    <t>#2490 - Ed Fund: Other Support Services-School Admin: (100) $30,074 Coordinator Salary</t>
  </si>
  <si>
    <t>#2490 - Ed Fund: Other Support Services-School Admin: (200) Coordinator Medicare $427; Coordinator TRS $175; Coordinator THIS $278;</t>
  </si>
  <si>
    <t>Coordinator Flex $(52); Coordinator Life Ins $34; Coordinator Health Ins $2,756 = $3,618</t>
  </si>
  <si>
    <t>#2490 - Ed Fund: Other Support Services-School Admin: (300) $28 Coordinator Travel; $480 Cell phone allowance = $508</t>
  </si>
  <si>
    <t>ED - EXEC ADMIN - PROF SERV</t>
  </si>
  <si>
    <t>10-2300-300</t>
  </si>
  <si>
    <t>ST. ANNE GRADE SCHOOL</t>
  </si>
  <si>
    <t>Supply/Equip Purchasing - St. Anne Grade School, Pembroke, St. Anne High School, Momence SD, Herscher SD, BBCHS, Laraway, Kankakee SD 111</t>
  </si>
  <si>
    <t>KASEC provided Vision/O&amp;M and Audiology services to LEASE Cooperative, (below)</t>
  </si>
  <si>
    <t>Other - SOWIC Cooperative, and LincolnWay Cooperative</t>
  </si>
  <si>
    <r>
      <t xml:space="preserve">The following amounts were expended in the form of non-cash assistance by </t>
    </r>
    <r>
      <rPr>
        <b/>
        <sz val="9"/>
        <rFont val="Calibri"/>
        <family val="2"/>
        <scheme val="minor"/>
      </rPr>
      <t>KASEC</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</si>
  <si>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Federal Expenditures for 7/1/18-6/30/19</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</si>
  <si>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</si>
  <si>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</si>
  <si>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TOTAL US DEPARTMENT OF EDUCATION</t>
  </si>
  <si>
    <t>Total Illinois State Board of Education</t>
  </si>
  <si>
    <t>Total Special Education (IDEA) Cluster (M)</t>
  </si>
  <si>
    <t>Total CFDA 84.173</t>
  </si>
  <si>
    <t>2019-4600</t>
  </si>
  <si>
    <t>IDEA Preschool (M)</t>
  </si>
  <si>
    <t>2018-4600</t>
  </si>
  <si>
    <t>Total CFDA 84.027</t>
  </si>
  <si>
    <t>2019-4620</t>
  </si>
  <si>
    <t>IDEA Part B Flow-Through (M)</t>
  </si>
  <si>
    <t>2018-4620</t>
  </si>
  <si>
    <t>Special Education (IDEA) Cluster (M)</t>
  </si>
  <si>
    <t>Pass through from Illinois State Board of Education</t>
  </si>
  <si>
    <t>US DEPARTMENT OF EDUCATION</t>
  </si>
  <si>
    <t>TOTAL FEDERAL AWARDS</t>
  </si>
  <si>
    <t>TOTAL US DEPARTMENT OF HEALTH AND HUMAN SERVICES</t>
  </si>
  <si>
    <t>Total Illinois Department of Healthcare and Family Services</t>
  </si>
  <si>
    <t>Svc dates Jul 2018-Jun 2019</t>
  </si>
  <si>
    <t>Medical Assistance Program - Administrative Outreach</t>
  </si>
  <si>
    <t>Svc dates Jul 2017-Jun 2018</t>
  </si>
  <si>
    <t>Pass through from Illinois Department of Healthcare and Family Services</t>
  </si>
  <si>
    <t>US DEPARTMENT OF HEALTH AND HUMAN SERVICES</t>
  </si>
  <si>
    <t>TOTAL US DEPARTMENT OF AGRICULTURE</t>
  </si>
  <si>
    <t>Total Child Nutrition Cluster</t>
  </si>
  <si>
    <t>32046850060A9</t>
  </si>
  <si>
    <t>Food Commodities (non-cash)</t>
  </si>
  <si>
    <t>Child Nutrition Cluster</t>
  </si>
  <si>
    <t>US DEPARTMENT OF AGRICULTURE</t>
  </si>
  <si>
    <t>Kankakee Area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</si>
</sst>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105" xfId="18" applyFont="1" applyBorder="1" applyAlignment="1" applyProtection="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127" fillId="16" borderId="157" xfId="17" applyNumberFormat="1" applyFont="1" applyFill="1" applyBorder="1" applyAlignment="1" applyProtection="1">
      <alignment horizontal="right" vertical="top"/>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 fontId="62" fillId="0" borderId="22" xfId="3" applyNumberFormat="1" applyFont="1" applyBorder="1" applyAlignment="1" applyProtection="1">
      <alignment horizontal="right"/>
      <protection locked="0"/>
    </xf>
    <xf numFmtId="3" fontId="64" fillId="0" borderId="8" xfId="3" applyNumberFormat="1" applyFont="1" applyBorder="1" applyAlignment="1" applyProtection="1">
      <alignment horizontal="right"/>
      <protection locked="0"/>
    </xf>
    <xf numFmtId="3" fontId="64" fillId="0" borderId="22" xfId="3" applyNumberFormat="1" applyFont="1" applyBorder="1" applyAlignment="1" applyProtection="1">
      <alignment horizontal="right"/>
      <protection locked="0"/>
    </xf>
    <xf numFmtId="3" fontId="64"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right"/>
      <protection locked="0"/>
    </xf>
    <xf numFmtId="3" fontId="98" fillId="0" borderId="8" xfId="3" applyNumberFormat="1" applyFont="1" applyBorder="1" applyAlignment="1" applyProtection="1">
      <alignment horizontal="right"/>
      <protection locked="0"/>
    </xf>
    <xf numFmtId="3" fontId="98" fillId="0" borderId="22" xfId="3" applyNumberFormat="1" applyFont="1" applyBorder="1" applyAlignment="1" applyProtection="1">
      <alignment horizontal="right"/>
      <protection locked="0"/>
    </xf>
    <xf numFmtId="3" fontId="98" fillId="0" borderId="22" xfId="3" applyNumberFormat="1" applyFont="1" applyBorder="1" applyAlignment="1" applyProtection="1">
      <alignment horizontal="left" vertical="center" wrapText="1"/>
      <protection locked="0"/>
    </xf>
    <xf numFmtId="3" fontId="73" fillId="0" borderId="8" xfId="3" applyNumberFormat="1" applyFont="1" applyBorder="1" applyAlignment="1" applyProtection="1">
      <alignment horizontal="right"/>
      <protection locked="0"/>
    </xf>
    <xf numFmtId="3" fontId="73" fillId="0" borderId="22" xfId="3" applyNumberFormat="1" applyFont="1" applyBorder="1" applyAlignment="1" applyProtection="1">
      <alignment horizontal="right"/>
      <protection locked="0"/>
    </xf>
    <xf numFmtId="3" fontId="73"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left" vertical="center" wrapText="1"/>
      <protection locked="0"/>
    </xf>
    <xf numFmtId="3" fontId="87" fillId="0" borderId="8" xfId="3" applyNumberFormat="1" applyFont="1" applyBorder="1" applyAlignment="1" applyProtection="1">
      <alignment horizontal="center"/>
      <protection locked="0"/>
    </xf>
    <xf numFmtId="3" fontId="87" fillId="0" borderId="22" xfId="3" applyNumberFormat="1" applyFont="1" applyBorder="1" applyAlignment="1" applyProtection="1">
      <alignment horizontal="center"/>
      <protection locked="0"/>
    </xf>
    <xf numFmtId="3" fontId="87"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wrapText="1"/>
      <protection locked="0"/>
    </xf>
    <xf numFmtId="3" fontId="64" fillId="0" borderId="8" xfId="3" applyNumberFormat="1" applyFont="1" applyBorder="1" applyAlignment="1" applyProtection="1">
      <alignment horizontal="center"/>
      <protection locked="0"/>
    </xf>
    <xf numFmtId="3" fontId="98" fillId="0" borderId="8" xfId="3" applyNumberFormat="1" applyFont="1" applyBorder="1" applyAlignment="1" applyProtection="1">
      <alignment horizontal="center"/>
      <protection locked="0"/>
    </xf>
    <xf numFmtId="3" fontId="73" fillId="0" borderId="8" xfId="3" applyNumberFormat="1" applyFont="1" applyBorder="1" applyAlignment="1" applyProtection="1">
      <alignment horizontal="center"/>
      <protection locked="0"/>
    </xf>
    <xf numFmtId="3" fontId="73" fillId="0" borderId="22" xfId="3"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6</xdr:row>
          <xdr:rowOff>123825</xdr:rowOff>
        </xdr:from>
        <xdr:to>
          <xdr:col>1</xdr:col>
          <xdr:colOff>1028700</xdr:colOff>
          <xdr:row>9</xdr:row>
          <xdr:rowOff>152400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262371</xdr:colOff>
          <xdr:row>1</xdr:row>
          <xdr:rowOff>43296</xdr:rowOff>
        </xdr:from>
        <xdr:to>
          <xdr:col>1</xdr:col>
          <xdr:colOff>1421823</xdr:colOff>
          <xdr:row>6</xdr:row>
          <xdr:rowOff>2599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1593273</xdr:colOff>
          <xdr:row>1</xdr:row>
          <xdr:rowOff>34636</xdr:rowOff>
        </xdr:from>
        <xdr:to>
          <xdr:col>1</xdr:col>
          <xdr:colOff>2504209</xdr:colOff>
          <xdr:row>5</xdr:row>
          <xdr:rowOff>158461</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2641023</xdr:colOff>
          <xdr:row>1</xdr:row>
          <xdr:rowOff>25977</xdr:rowOff>
        </xdr:from>
        <xdr:to>
          <xdr:col>2</xdr:col>
          <xdr:colOff>53686</xdr:colOff>
          <xdr:row>5</xdr:row>
          <xdr:rowOff>149802</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1400-000009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199158</xdr:colOff>
          <xdr:row>1</xdr:row>
          <xdr:rowOff>25976</xdr:rowOff>
        </xdr:from>
        <xdr:to>
          <xdr:col>3</xdr:col>
          <xdr:colOff>503959</xdr:colOff>
          <xdr:row>5</xdr:row>
          <xdr:rowOff>149801</xdr:rowOff>
        </xdr:to>
        <xdr:sp macro="" textlink="">
          <xdr:nvSpPr>
            <xdr:cNvPr id="35850" name="Object 10" hidden="1">
              <a:extLst>
                <a:ext uri="{63B3BB69-23CF-44E3-9099-C40C66FF867C}">
                  <a14:compatExt spid="_x0000_s35850"/>
                </a:ext>
                <a:ext uri="{FF2B5EF4-FFF2-40B4-BE49-F238E27FC236}">
                  <a16:creationId xmlns:a16="http://schemas.microsoft.com/office/drawing/2014/main" id="{00000000-0008-0000-1400-00000A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4" t="s">
        <v>405</v>
      </c>
      <c r="J1" s="2015"/>
      <c r="K1" s="2015"/>
      <c r="L1" s="2015"/>
      <c r="M1" s="2015"/>
      <c r="N1" s="2015"/>
      <c r="O1" s="2015"/>
      <c r="P1" s="2015"/>
      <c r="Q1" s="2015"/>
      <c r="R1" s="2015"/>
      <c r="S1" s="2015"/>
    </row>
    <row r="2" spans="1:28" ht="12" customHeight="1" x14ac:dyDescent="0.2">
      <c r="A2" s="47" t="s">
        <v>1988</v>
      </c>
      <c r="D2" s="48"/>
      <c r="I2" s="2016" t="s">
        <v>979</v>
      </c>
      <c r="J2" s="2015"/>
      <c r="K2" s="2015"/>
      <c r="L2" s="2015"/>
      <c r="M2" s="2015"/>
      <c r="N2" s="2015"/>
      <c r="O2" s="2015"/>
      <c r="P2" s="2015"/>
      <c r="Q2" s="2015"/>
      <c r="R2" s="2015"/>
      <c r="S2" s="2015"/>
    </row>
    <row r="3" spans="1:28" ht="12" customHeight="1" x14ac:dyDescent="0.2">
      <c r="A3" s="155" t="s">
        <v>1940</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c r="C5" s="26" t="s">
        <v>910</v>
      </c>
      <c r="D5" s="84"/>
      <c r="E5" s="84"/>
      <c r="H5" s="38"/>
      <c r="I5" s="2024" t="s">
        <v>680</v>
      </c>
      <c r="J5" s="2023"/>
      <c r="K5" s="2023"/>
      <c r="L5" s="2023"/>
      <c r="M5" s="2023"/>
      <c r="N5" s="2023"/>
      <c r="O5" s="2023"/>
      <c r="P5" s="2023"/>
      <c r="Q5" s="2023"/>
      <c r="R5" s="2023"/>
      <c r="S5" s="2023"/>
    </row>
    <row r="6" spans="1:28" ht="14.1" customHeight="1" x14ac:dyDescent="0.2">
      <c r="B6" s="104" t="s">
        <v>2059</v>
      </c>
      <c r="C6" s="26" t="s">
        <v>911</v>
      </c>
      <c r="D6" s="84"/>
      <c r="E6" s="84"/>
      <c r="I6" s="2022" t="s">
        <v>883</v>
      </c>
      <c r="J6" s="2023"/>
      <c r="K6" s="2023"/>
      <c r="L6" s="2023"/>
      <c r="M6" s="2023"/>
      <c r="N6" s="2023"/>
      <c r="O6" s="2023"/>
      <c r="P6" s="2023"/>
      <c r="Q6" s="2023"/>
      <c r="R6" s="2023"/>
      <c r="S6" s="2023"/>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2035" t="s">
        <v>533</v>
      </c>
      <c r="U9" s="2036"/>
      <c r="V9" s="2036"/>
      <c r="W9" s="2036"/>
      <c r="X9" s="2036"/>
      <c r="Y9" s="2036"/>
      <c r="Z9" s="2036"/>
      <c r="AA9" s="2037"/>
    </row>
    <row r="10" spans="1:28" ht="13.5" customHeight="1" x14ac:dyDescent="0.2">
      <c r="A10" s="2042" t="s">
        <v>675</v>
      </c>
      <c r="B10" s="2043"/>
      <c r="C10" s="2043"/>
      <c r="D10" s="2043"/>
      <c r="E10" s="2043"/>
      <c r="F10" s="2043"/>
      <c r="G10" s="2043"/>
      <c r="H10" s="2044"/>
      <c r="I10" s="29"/>
      <c r="J10" s="30"/>
      <c r="K10" s="28"/>
      <c r="R10" s="30"/>
      <c r="S10" s="30"/>
      <c r="T10" s="2038"/>
      <c r="U10" s="2023"/>
      <c r="V10" s="2023"/>
      <c r="W10" s="2023"/>
      <c r="X10" s="2023"/>
      <c r="Y10" s="2023"/>
      <c r="Z10" s="2023"/>
      <c r="AA10" s="2029"/>
    </row>
    <row r="11" spans="1:28" ht="14.25" customHeight="1" x14ac:dyDescent="0.2">
      <c r="A11" s="2045" t="s">
        <v>955</v>
      </c>
      <c r="B11" s="2046"/>
      <c r="C11" s="2046"/>
      <c r="D11" s="2046"/>
      <c r="E11" s="2046"/>
      <c r="F11" s="2046"/>
      <c r="G11" s="2046"/>
      <c r="H11" s="2047"/>
      <c r="I11" s="27"/>
      <c r="J11" s="74"/>
      <c r="K11" s="27"/>
      <c r="O11" s="148" t="s">
        <v>2059</v>
      </c>
      <c r="P11" s="100" t="s">
        <v>201</v>
      </c>
      <c r="Q11" s="30"/>
      <c r="R11" s="28"/>
      <c r="S11" s="27"/>
      <c r="T11" s="2039"/>
      <c r="U11" s="2040"/>
      <c r="V11" s="2040"/>
      <c r="W11" s="2040"/>
      <c r="X11" s="2040"/>
      <c r="Y11" s="2040"/>
      <c r="Z11" s="2040"/>
      <c r="AA11" s="204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9">
        <v>32046850060</v>
      </c>
      <c r="B13" s="2050"/>
      <c r="C13" s="2050"/>
      <c r="D13" s="2050"/>
      <c r="E13" s="2050"/>
      <c r="F13" s="2050"/>
      <c r="G13" s="2050"/>
      <c r="H13" s="2051"/>
      <c r="I13" s="31"/>
      <c r="J13" s="30"/>
      <c r="K13" s="28"/>
      <c r="L13" s="30"/>
      <c r="M13" s="30"/>
      <c r="N13" s="30"/>
      <c r="O13" s="30"/>
      <c r="P13" s="30"/>
      <c r="Q13" s="30"/>
      <c r="R13" s="30"/>
      <c r="S13" s="30"/>
      <c r="T13" s="2054" t="s">
        <v>2063</v>
      </c>
      <c r="U13" s="2055"/>
      <c r="V13" s="2055"/>
      <c r="W13" s="2055"/>
      <c r="X13" s="2055"/>
      <c r="Y13" s="2056"/>
      <c r="Z13" s="2056"/>
      <c r="AA13" s="205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48" t="s">
        <v>2060</v>
      </c>
      <c r="B15" s="2052"/>
      <c r="C15" s="2052"/>
      <c r="D15" s="2052"/>
      <c r="E15" s="2052"/>
      <c r="F15" s="2052"/>
      <c r="G15" s="2052"/>
      <c r="H15" s="2053"/>
      <c r="T15" s="2058" t="s">
        <v>2064</v>
      </c>
      <c r="U15" s="2002"/>
      <c r="V15" s="2002"/>
      <c r="W15" s="2002"/>
      <c r="X15" s="2002"/>
      <c r="Y15" s="2059"/>
      <c r="Z15" s="2059"/>
      <c r="AA15" s="206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8" t="s">
        <v>2162</v>
      </c>
      <c r="B17" s="2009"/>
      <c r="C17" s="2009"/>
      <c r="D17" s="2009"/>
      <c r="E17" s="2009"/>
      <c r="F17" s="2009"/>
      <c r="G17" s="2009"/>
      <c r="H17" s="2034"/>
      <c r="T17" s="2065" t="s">
        <v>2065</v>
      </c>
      <c r="U17" s="2066"/>
      <c r="V17" s="2066"/>
      <c r="W17" s="2066"/>
      <c r="X17" s="2066"/>
      <c r="Y17" s="2066"/>
      <c r="Z17" s="2066"/>
      <c r="AA17" s="2067"/>
    </row>
    <row r="18" spans="1:27" ht="13.5" customHeight="1" x14ac:dyDescent="0.2">
      <c r="A18" s="85" t="s">
        <v>530</v>
      </c>
      <c r="B18" s="76"/>
      <c r="C18" s="72"/>
      <c r="D18" s="76"/>
      <c r="E18" s="76"/>
      <c r="F18" s="76"/>
      <c r="G18" s="76"/>
      <c r="H18" s="56"/>
      <c r="I18" s="2033" t="s">
        <v>676</v>
      </c>
      <c r="J18" s="1984"/>
      <c r="K18" s="1984"/>
      <c r="L18" s="1984"/>
      <c r="M18" s="1984"/>
      <c r="N18" s="1984"/>
      <c r="O18" s="1984"/>
      <c r="P18" s="1984"/>
      <c r="Q18" s="1984"/>
      <c r="R18" s="1984"/>
      <c r="S18" s="1985"/>
      <c r="T18" s="85" t="s">
        <v>711</v>
      </c>
      <c r="U18" s="51"/>
      <c r="V18" s="72"/>
      <c r="W18" s="50"/>
      <c r="X18" s="85" t="s">
        <v>266</v>
      </c>
      <c r="Y18" s="81"/>
      <c r="Z18" s="159" t="s">
        <v>677</v>
      </c>
      <c r="AA18" s="46"/>
    </row>
    <row r="19" spans="1:27" ht="13.5" customHeight="1" x14ac:dyDescent="0.2">
      <c r="A19" s="2048" t="s">
        <v>2061</v>
      </c>
      <c r="B19" s="1994"/>
      <c r="C19" s="1994"/>
      <c r="D19" s="1994"/>
      <c r="E19" s="1994"/>
      <c r="F19" s="1994"/>
      <c r="G19" s="1994"/>
      <c r="H19" s="1974"/>
      <c r="I19" s="30"/>
      <c r="J19" s="99"/>
      <c r="K19" s="40"/>
      <c r="L19" s="38"/>
      <c r="M19" s="112" t="s">
        <v>315</v>
      </c>
      <c r="P19" s="27"/>
      <c r="Q19" s="27"/>
      <c r="R19" s="27"/>
      <c r="S19" s="31"/>
      <c r="T19" s="2048" t="s">
        <v>2066</v>
      </c>
      <c r="U19" s="1973"/>
      <c r="V19" s="1973"/>
      <c r="W19" s="1974"/>
      <c r="X19" s="2063" t="s">
        <v>2067</v>
      </c>
      <c r="Y19" s="2064"/>
      <c r="Z19" s="2061">
        <v>60914</v>
      </c>
      <c r="AA19" s="206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2" t="s">
        <v>2062</v>
      </c>
      <c r="B21" s="1973"/>
      <c r="C21" s="1973"/>
      <c r="D21" s="1973"/>
      <c r="E21" s="1973"/>
      <c r="F21" s="1973"/>
      <c r="G21" s="1973"/>
      <c r="H21" s="1974"/>
      <c r="I21" s="2028" t="s">
        <v>678</v>
      </c>
      <c r="J21" s="2023"/>
      <c r="K21" s="2023"/>
      <c r="L21" s="2023"/>
      <c r="M21" s="2023"/>
      <c r="N21" s="2023"/>
      <c r="O21" s="2023"/>
      <c r="P21" s="2023"/>
      <c r="Q21" s="2023"/>
      <c r="R21" s="2023"/>
      <c r="S21" s="2029"/>
      <c r="T21" s="2072" t="s">
        <v>2068</v>
      </c>
      <c r="U21" s="2073"/>
      <c r="V21" s="2073"/>
      <c r="W21" s="2073"/>
      <c r="X21" s="2078" t="s">
        <v>2069</v>
      </c>
      <c r="Y21" s="2079"/>
      <c r="Z21" s="2079"/>
      <c r="AA21" s="2080"/>
    </row>
    <row r="22" spans="1:27" ht="13.5" customHeight="1" x14ac:dyDescent="0.2">
      <c r="A22" s="87" t="s">
        <v>531</v>
      </c>
      <c r="B22" s="59"/>
      <c r="C22" s="59"/>
      <c r="D22" s="59"/>
      <c r="E22" s="59"/>
      <c r="F22" s="59"/>
      <c r="G22" s="59"/>
      <c r="H22" s="60"/>
      <c r="I22" s="2030" t="s">
        <v>1429</v>
      </c>
      <c r="J22" s="2031"/>
      <c r="K22" s="2031"/>
      <c r="L22" s="2031"/>
      <c r="M22" s="2031"/>
      <c r="N22" s="2031"/>
      <c r="O22" s="2031"/>
      <c r="P22" s="2031"/>
      <c r="Q22" s="2031"/>
      <c r="R22" s="2031"/>
      <c r="S22" s="2032"/>
      <c r="T22" s="85" t="s">
        <v>1516</v>
      </c>
      <c r="U22" s="51"/>
      <c r="V22" s="72"/>
      <c r="W22" s="51"/>
      <c r="X22" s="160" t="s">
        <v>1318</v>
      </c>
      <c r="Z22" s="45"/>
      <c r="AA22" s="46"/>
    </row>
    <row r="23" spans="1:27" ht="13.5" customHeight="1" x14ac:dyDescent="0.2">
      <c r="A23" s="2025"/>
      <c r="B23" s="2026"/>
      <c r="C23" s="2026"/>
      <c r="D23" s="2026"/>
      <c r="E23" s="2026"/>
      <c r="F23" s="2026"/>
      <c r="G23" s="2026"/>
      <c r="H23" s="2027"/>
      <c r="T23" s="2008" t="s">
        <v>2070</v>
      </c>
      <c r="U23" s="2071"/>
      <c r="V23" s="2071"/>
      <c r="W23" s="2071"/>
      <c r="X23" s="2075">
        <v>44530</v>
      </c>
      <c r="Y23" s="2076"/>
      <c r="Z23" s="2076"/>
      <c r="AA23" s="2077"/>
    </row>
    <row r="24" spans="1:27" ht="14.1" customHeight="1" x14ac:dyDescent="0.2">
      <c r="A24" s="88" t="s">
        <v>677</v>
      </c>
      <c r="B24" s="49"/>
      <c r="C24" s="49"/>
      <c r="D24" s="49"/>
      <c r="E24" s="49"/>
      <c r="F24" s="49"/>
      <c r="G24" s="49"/>
      <c r="H24" s="61"/>
      <c r="J24" s="1995" t="str">
        <f>IF(B5="x",IF(AUDITCHECK!D29="AFR form Incomplete.","",IF(AUDITCHECK!D29="Deficit reduction plan is required.","School District must complete a deficit reduction plan in the 2019-2020 Budget",)),"")</f>
        <v/>
      </c>
      <c r="K24" s="1995"/>
      <c r="L24" s="1995"/>
      <c r="M24" s="1995"/>
      <c r="N24" s="1995"/>
      <c r="O24" s="1995"/>
      <c r="P24" s="1995"/>
      <c r="Q24" s="1995"/>
      <c r="R24" s="1995"/>
      <c r="S24" s="1996"/>
      <c r="T24" s="105" t="s">
        <v>531</v>
      </c>
      <c r="U24" s="106"/>
      <c r="V24" s="106"/>
      <c r="W24" s="106"/>
      <c r="X24" s="107"/>
      <c r="Y24" s="107"/>
      <c r="Z24" s="107"/>
      <c r="AA24" s="108"/>
    </row>
    <row r="25" spans="1:27" ht="14.1" customHeight="1" x14ac:dyDescent="0.2">
      <c r="A25" s="1972">
        <v>60964</v>
      </c>
      <c r="B25" s="1973"/>
      <c r="C25" s="1973"/>
      <c r="D25" s="1973"/>
      <c r="E25" s="1973"/>
      <c r="F25" s="1973"/>
      <c r="G25" s="1973"/>
      <c r="H25" s="1974"/>
      <c r="I25" s="113"/>
      <c r="J25" s="1997"/>
      <c r="K25" s="1997"/>
      <c r="L25" s="1997"/>
      <c r="M25" s="1997"/>
      <c r="N25" s="1997"/>
      <c r="O25" s="1997"/>
      <c r="P25" s="1997"/>
      <c r="Q25" s="1997"/>
      <c r="R25" s="1997"/>
      <c r="S25" s="1998"/>
      <c r="T25" s="2068" t="s">
        <v>2071</v>
      </c>
      <c r="U25" s="2069"/>
      <c r="V25" s="2069"/>
      <c r="W25" s="2069"/>
      <c r="X25" s="2069"/>
      <c r="Y25" s="2069"/>
      <c r="Z25" s="2069"/>
      <c r="AA25" s="20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83" t="s">
        <v>1511</v>
      </c>
      <c r="J27" s="1984"/>
      <c r="K27" s="1984"/>
      <c r="L27" s="1984"/>
      <c r="M27" s="1984"/>
      <c r="N27" s="1984"/>
      <c r="O27" s="1984"/>
      <c r="P27" s="1984"/>
      <c r="Q27" s="1984"/>
      <c r="R27" s="1984"/>
      <c r="S27" s="198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2059</v>
      </c>
      <c r="F29" s="141" t="s">
        <v>1316</v>
      </c>
      <c r="G29" s="114"/>
      <c r="I29" s="54"/>
      <c r="J29" s="148" t="s">
        <v>2080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2059</v>
      </c>
      <c r="C30" s="124" t="s">
        <v>1164</v>
      </c>
      <c r="D30" s="28"/>
      <c r="E30" s="28"/>
      <c r="F30" s="140"/>
      <c r="G30" s="114"/>
      <c r="H30" s="114"/>
      <c r="I30" s="54"/>
      <c r="J30" s="148" t="s">
        <v>2080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4"/>
      <c r="Q35" s="1973"/>
      <c r="R35" s="197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8" t="s">
        <v>2072</v>
      </c>
      <c r="B38" s="2009"/>
      <c r="C38" s="2009"/>
      <c r="D38" s="2009"/>
      <c r="E38" s="2009"/>
      <c r="F38" s="1973"/>
      <c r="G38" s="1973"/>
      <c r="H38" s="1974"/>
      <c r="I38" s="2001"/>
      <c r="J38" s="2002"/>
      <c r="K38" s="2002"/>
      <c r="L38" s="2002"/>
      <c r="M38" s="2002"/>
      <c r="N38" s="2002"/>
      <c r="O38" s="2002"/>
      <c r="P38" s="2003"/>
      <c r="Q38" s="2003"/>
      <c r="R38" s="2003"/>
      <c r="S38" s="2004"/>
      <c r="T38" s="2058" t="s">
        <v>2076</v>
      </c>
      <c r="U38" s="2002"/>
      <c r="V38" s="2002"/>
      <c r="W38" s="2002"/>
      <c r="X38" s="2003"/>
      <c r="Y38" s="2003"/>
      <c r="Z38" s="2003"/>
      <c r="AA38" s="2004"/>
    </row>
    <row r="39" spans="1:27" ht="12" customHeight="1" x14ac:dyDescent="0.2">
      <c r="A39" s="1978" t="s">
        <v>531</v>
      </c>
      <c r="B39" s="1979"/>
      <c r="C39" s="72"/>
      <c r="D39" s="69"/>
      <c r="E39" s="69"/>
      <c r="F39" s="79"/>
      <c r="G39" s="69"/>
      <c r="H39" s="56"/>
      <c r="I39" s="1978" t="s">
        <v>531</v>
      </c>
      <c r="J39" s="1979"/>
      <c r="K39" s="1979"/>
      <c r="L39" s="1979"/>
      <c r="M39" s="1979"/>
      <c r="N39" s="67"/>
      <c r="O39" s="72"/>
      <c r="P39" s="72"/>
      <c r="Q39" s="78"/>
      <c r="R39" s="72"/>
      <c r="S39" s="56"/>
      <c r="T39" s="72" t="s">
        <v>531</v>
      </c>
      <c r="U39" s="51"/>
      <c r="V39" s="72"/>
      <c r="W39" s="50"/>
      <c r="X39" s="78"/>
      <c r="Y39" s="45"/>
      <c r="Z39" s="45"/>
      <c r="AA39" s="46"/>
    </row>
    <row r="40" spans="1:27" ht="13.5" customHeight="1" x14ac:dyDescent="0.2">
      <c r="A40" s="1986" t="s">
        <v>2073</v>
      </c>
      <c r="B40" s="1987"/>
      <c r="C40" s="1988"/>
      <c r="D40" s="1988"/>
      <c r="E40" s="1988"/>
      <c r="F40" s="1989"/>
      <c r="G40" s="1989"/>
      <c r="H40" s="1990"/>
      <c r="I40" s="2011"/>
      <c r="J40" s="2012"/>
      <c r="K40" s="2012"/>
      <c r="L40" s="2012"/>
      <c r="M40" s="2012"/>
      <c r="N40" s="2012"/>
      <c r="O40" s="2012"/>
      <c r="P40" s="2012"/>
      <c r="Q40" s="2012"/>
      <c r="R40" s="2012"/>
      <c r="S40" s="2013"/>
      <c r="T40" s="2011" t="s">
        <v>2077</v>
      </c>
      <c r="U40" s="2074"/>
      <c r="V40" s="2012"/>
      <c r="W40" s="2012"/>
      <c r="X40" s="2012"/>
      <c r="Y40" s="2012"/>
      <c r="Z40" s="2012"/>
      <c r="AA40" s="201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00" t="s">
        <v>2074</v>
      </c>
      <c r="B42" s="1992"/>
      <c r="C42" s="1993"/>
      <c r="D42" s="1991" t="s">
        <v>2075</v>
      </c>
      <c r="E42" s="1992"/>
      <c r="F42" s="1992"/>
      <c r="G42" s="1992"/>
      <c r="H42" s="1993"/>
      <c r="I42" s="1975"/>
      <c r="J42" s="1976"/>
      <c r="K42" s="1976"/>
      <c r="L42" s="1976"/>
      <c r="M42" s="1976"/>
      <c r="N42" s="1976"/>
      <c r="O42" s="1977"/>
      <c r="P42" s="2010"/>
      <c r="Q42" s="1976"/>
      <c r="R42" s="1976"/>
      <c r="S42" s="1977"/>
      <c r="T42" s="1975" t="s">
        <v>2078</v>
      </c>
      <c r="U42" s="1976"/>
      <c r="V42" s="1976"/>
      <c r="W42" s="1977"/>
      <c r="X42" s="2010" t="s">
        <v>2079</v>
      </c>
      <c r="Y42" s="1976"/>
      <c r="Z42" s="1976"/>
      <c r="AA42" s="197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5"/>
      <c r="B44" s="2006"/>
      <c r="C44" s="2006"/>
      <c r="D44" s="2006"/>
      <c r="E44" s="2006"/>
      <c r="F44" s="2006"/>
      <c r="G44" s="2006"/>
      <c r="H44" s="2007"/>
      <c r="I44" s="1980"/>
      <c r="J44" s="1981"/>
      <c r="K44" s="1981"/>
      <c r="L44" s="1981"/>
      <c r="M44" s="1981"/>
      <c r="N44" s="1981"/>
      <c r="O44" s="1981"/>
      <c r="P44" s="1981"/>
      <c r="Q44" s="1981"/>
      <c r="R44" s="1981"/>
      <c r="S44" s="1982"/>
      <c r="T44" s="1980"/>
      <c r="U44" s="1999"/>
      <c r="V44" s="1999"/>
      <c r="W44" s="1999"/>
      <c r="X44" s="1999"/>
      <c r="Y44" s="1999"/>
      <c r="Z44" s="1981"/>
      <c r="AA44" s="198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22" sqref="B2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14" t="s">
        <v>1799</v>
      </c>
      <c r="B2" s="1528" t="s">
        <v>1946</v>
      </c>
      <c r="C2" s="714" t="s">
        <v>1947</v>
      </c>
      <c r="D2" s="714" t="s">
        <v>1948</v>
      </c>
      <c r="E2" s="714" t="s">
        <v>1949</v>
      </c>
      <c r="F2" s="714" t="s">
        <v>1950</v>
      </c>
    </row>
    <row r="3" spans="1:6" ht="12" customHeight="1" x14ac:dyDescent="0.2">
      <c r="A3" s="221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22" sqref="B2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6" t="s">
        <v>629</v>
      </c>
      <c r="B1" s="2234"/>
      <c r="C1" s="721"/>
    </row>
    <row r="2" spans="1:7" ht="33.75" x14ac:dyDescent="0.2">
      <c r="A2" s="2241" t="s">
        <v>1799</v>
      </c>
      <c r="B2" s="2242"/>
      <c r="C2" s="1884" t="s">
        <v>1951</v>
      </c>
      <c r="D2" s="723" t="s">
        <v>1952</v>
      </c>
      <c r="E2" s="723" t="s">
        <v>1953</v>
      </c>
      <c r="F2" s="1884" t="s">
        <v>1954</v>
      </c>
    </row>
    <row r="3" spans="1:7" ht="15.75" customHeight="1" x14ac:dyDescent="0.2">
      <c r="A3" s="2243" t="s">
        <v>1114</v>
      </c>
      <c r="B3" s="2244"/>
      <c r="C3" s="2237"/>
      <c r="D3" s="2238"/>
      <c r="E3" s="2238"/>
      <c r="F3" s="2239"/>
    </row>
    <row r="4" spans="1:7" ht="12.75" customHeight="1" thickBot="1" x14ac:dyDescent="0.25">
      <c r="A4" s="2231" t="s">
        <v>630</v>
      </c>
      <c r="B4" s="2232"/>
      <c r="C4" s="581"/>
      <c r="D4" s="581"/>
      <c r="E4" s="581"/>
      <c r="F4" s="1755">
        <f>SUM(C4+D4)-E4</f>
        <v>0</v>
      </c>
    </row>
    <row r="5" spans="1:7" ht="15.75" customHeight="1" thickTop="1" x14ac:dyDescent="0.2">
      <c r="A5" s="2235" t="s">
        <v>1110</v>
      </c>
      <c r="B5" s="2230"/>
      <c r="C5" s="2224"/>
      <c r="D5" s="2225"/>
      <c r="E5" s="2225"/>
      <c r="F5" s="222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27" t="s">
        <v>631</v>
      </c>
      <c r="B15" s="2228"/>
      <c r="C15" s="1755">
        <f>SUM(C6:C14)</f>
        <v>0</v>
      </c>
      <c r="D15" s="1755">
        <f>SUM(D6:D14)</f>
        <v>0</v>
      </c>
      <c r="E15" s="1755">
        <f>SUM(E6:E14)</f>
        <v>0</v>
      </c>
      <c r="F15" s="1755">
        <f>SUM(F6:F14)</f>
        <v>0</v>
      </c>
      <c r="G15" s="552"/>
    </row>
    <row r="16" spans="1:7" s="202" customFormat="1" ht="15.75" customHeight="1" thickTop="1" x14ac:dyDescent="0.2">
      <c r="A16" s="2240" t="s">
        <v>1111</v>
      </c>
      <c r="B16" s="2230"/>
      <c r="C16" s="2224"/>
      <c r="D16" s="2225"/>
      <c r="E16" s="2225"/>
      <c r="F16" s="2226"/>
    </row>
    <row r="17" spans="1:11" ht="12.75" customHeight="1" thickBot="1" x14ac:dyDescent="0.25">
      <c r="A17" s="2222" t="s">
        <v>64</v>
      </c>
      <c r="B17" s="2223"/>
      <c r="C17" s="726"/>
      <c r="D17" s="585"/>
      <c r="E17" s="726"/>
      <c r="F17" s="1755">
        <f>SUM(C17+D17)-E17</f>
        <v>0</v>
      </c>
    </row>
    <row r="18" spans="1:11" ht="12.75" customHeight="1" thickTop="1" thickBot="1" x14ac:dyDescent="0.25">
      <c r="A18" s="2222" t="s">
        <v>6</v>
      </c>
      <c r="B18" s="2223"/>
      <c r="C18" s="726"/>
      <c r="D18" s="585"/>
      <c r="E18" s="726"/>
      <c r="F18" s="1755">
        <f>SUM(C18+D18)-E18</f>
        <v>0</v>
      </c>
    </row>
    <row r="19" spans="1:11" ht="12.75" customHeight="1" thickTop="1" thickBot="1" x14ac:dyDescent="0.25">
      <c r="A19" s="2222" t="s">
        <v>388</v>
      </c>
      <c r="B19" s="2223"/>
      <c r="C19" s="726"/>
      <c r="D19" s="585"/>
      <c r="E19" s="726"/>
      <c r="F19" s="1755">
        <f>SUM(C19+D19)-E19</f>
        <v>0</v>
      </c>
    </row>
    <row r="20" spans="1:11" ht="12.75" customHeight="1" thickTop="1" thickBot="1" x14ac:dyDescent="0.25">
      <c r="A20" s="2222" t="s">
        <v>448</v>
      </c>
      <c r="B20" s="2223"/>
      <c r="C20" s="726"/>
      <c r="D20" s="585"/>
      <c r="E20" s="726"/>
      <c r="F20" s="1755">
        <f>SUM(C20+D20)-E20</f>
        <v>0</v>
      </c>
    </row>
    <row r="21" spans="1:11" ht="14.25" thickTop="1" thickBot="1" x14ac:dyDescent="0.25">
      <c r="A21" s="2227" t="s">
        <v>632</v>
      </c>
      <c r="B21" s="2228"/>
      <c r="C21" s="1755">
        <f>SUM(C17:C20)</f>
        <v>0</v>
      </c>
      <c r="D21" s="1755">
        <f>SUM(D17:D20)</f>
        <v>0</v>
      </c>
      <c r="E21" s="1755">
        <f>SUM(E17:E20)</f>
        <v>0</v>
      </c>
      <c r="F21" s="1755">
        <f>SUM(F17:F20)</f>
        <v>0</v>
      </c>
      <c r="G21" s="552"/>
    </row>
    <row r="22" spans="1:11" ht="15.75" customHeight="1" thickTop="1" x14ac:dyDescent="0.2">
      <c r="A22" s="2229" t="s">
        <v>1112</v>
      </c>
      <c r="B22" s="2230"/>
      <c r="C22" s="2224"/>
      <c r="D22" s="2225"/>
      <c r="E22" s="2225"/>
      <c r="F22" s="2226"/>
    </row>
    <row r="23" spans="1:11" ht="13.5" thickBot="1" x14ac:dyDescent="0.25">
      <c r="A23" s="2231" t="s">
        <v>633</v>
      </c>
      <c r="B23" s="2232"/>
      <c r="C23" s="581"/>
      <c r="D23" s="581"/>
      <c r="E23" s="581"/>
      <c r="F23" s="1755">
        <f>SUM(C23+D23)-E23</f>
        <v>0</v>
      </c>
      <c r="G23" s="552"/>
    </row>
    <row r="24" spans="1:11" ht="15.75" customHeight="1" thickTop="1" x14ac:dyDescent="0.2">
      <c r="A24" s="2229" t="s">
        <v>1113</v>
      </c>
      <c r="B24" s="2230"/>
      <c r="C24" s="2224"/>
      <c r="D24" s="2225"/>
      <c r="E24" s="2225"/>
      <c r="F24" s="2226"/>
    </row>
    <row r="25" spans="1:11" ht="13.5" thickBot="1" x14ac:dyDescent="0.25">
      <c r="A25" s="2231" t="s">
        <v>634</v>
      </c>
      <c r="B25" s="2232"/>
      <c r="C25" s="581"/>
      <c r="D25" s="581"/>
      <c r="E25" s="581"/>
      <c r="F25" s="1755">
        <f>SUM(C25+D25)-E25</f>
        <v>0</v>
      </c>
      <c r="G25" s="552"/>
    </row>
    <row r="26" spans="1:11" ht="15.75" customHeight="1" thickTop="1" x14ac:dyDescent="0.2">
      <c r="A26" s="2235" t="s">
        <v>657</v>
      </c>
      <c r="B26" s="2230"/>
      <c r="C26" s="727"/>
      <c r="D26" s="727"/>
      <c r="E26" s="727"/>
      <c r="F26" s="728"/>
    </row>
    <row r="27" spans="1:11" ht="13.5" thickBot="1" x14ac:dyDescent="0.25">
      <c r="A27" s="2227" t="s">
        <v>1070</v>
      </c>
      <c r="B27" s="2228"/>
      <c r="C27" s="585"/>
      <c r="D27" s="585"/>
      <c r="E27" s="585"/>
      <c r="F27" s="1755">
        <f>SUM(C27+D27)-E27</f>
        <v>0</v>
      </c>
      <c r="G27" s="552"/>
    </row>
    <row r="28" spans="1:11" ht="7.5" customHeight="1" thickTop="1" x14ac:dyDescent="0.2">
      <c r="A28" s="593"/>
    </row>
    <row r="29" spans="1:11" ht="23.25" customHeight="1" x14ac:dyDescent="0.2">
      <c r="A29" s="2233" t="s">
        <v>582</v>
      </c>
      <c r="B29" s="2234"/>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6" t="s">
        <v>584</v>
      </c>
      <c r="C52" s="2217"/>
      <c r="D52" s="2217"/>
      <c r="E52" s="749" t="s">
        <v>845</v>
      </c>
      <c r="F52" s="2218"/>
      <c r="G52" s="2219"/>
      <c r="H52" s="736"/>
      <c r="I52" s="736"/>
      <c r="J52" s="746"/>
    </row>
    <row r="53" spans="1:11" ht="11.25" customHeight="1" x14ac:dyDescent="0.2">
      <c r="A53" s="750" t="s">
        <v>913</v>
      </c>
      <c r="B53" s="751" t="s">
        <v>951</v>
      </c>
      <c r="C53" s="746"/>
      <c r="D53" s="737"/>
      <c r="E53" s="749" t="s">
        <v>497</v>
      </c>
      <c r="F53" s="2220"/>
      <c r="G53" s="2221"/>
      <c r="H53" s="736"/>
      <c r="I53" s="736"/>
      <c r="J53" s="746"/>
    </row>
    <row r="54" spans="1:11" ht="11.25" customHeight="1" x14ac:dyDescent="0.2">
      <c r="A54" s="752" t="s">
        <v>914</v>
      </c>
      <c r="B54" s="747" t="s">
        <v>952</v>
      </c>
      <c r="C54" s="746"/>
      <c r="D54" s="737"/>
      <c r="E54" s="749" t="s">
        <v>498</v>
      </c>
      <c r="F54" s="2220"/>
      <c r="G54" s="222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B22" sqref="B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64" t="s">
        <v>1677</v>
      </c>
      <c r="B2" s="2265"/>
      <c r="C2" s="2265"/>
      <c r="D2" s="2265"/>
      <c r="E2" s="2266"/>
      <c r="F2" s="761" t="s">
        <v>904</v>
      </c>
      <c r="G2" s="762" t="s">
        <v>1674</v>
      </c>
      <c r="H2" s="762" t="s">
        <v>410</v>
      </c>
      <c r="I2" s="762" t="s">
        <v>1158</v>
      </c>
      <c r="J2" s="762" t="s">
        <v>1809</v>
      </c>
      <c r="K2" s="762" t="s">
        <v>138</v>
      </c>
    </row>
    <row r="3" spans="1:11" x14ac:dyDescent="0.2">
      <c r="A3" s="2267" t="s">
        <v>1959</v>
      </c>
      <c r="B3" s="2268"/>
      <c r="C3" s="2268"/>
      <c r="D3" s="2268"/>
      <c r="E3" s="2269"/>
      <c r="F3" s="763"/>
      <c r="G3" s="764"/>
      <c r="H3" s="764"/>
      <c r="I3" s="764"/>
      <c r="J3" s="765"/>
      <c r="K3" s="765"/>
    </row>
    <row r="4" spans="1:11" x14ac:dyDescent="0.2">
      <c r="A4" s="2270" t="s">
        <v>369</v>
      </c>
      <c r="B4" s="2271"/>
      <c r="C4" s="2271"/>
      <c r="D4" s="2271"/>
      <c r="E4" s="2217"/>
      <c r="F4" s="766"/>
      <c r="G4" s="767"/>
      <c r="H4" s="768"/>
      <c r="I4" s="767"/>
      <c r="J4" s="769"/>
      <c r="K4" s="769"/>
    </row>
    <row r="5" spans="1:11" x14ac:dyDescent="0.2">
      <c r="A5" s="2248" t="s">
        <v>1069</v>
      </c>
      <c r="B5" s="2249"/>
      <c r="C5" s="2249"/>
      <c r="D5" s="2249"/>
      <c r="E5" s="225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8" t="s">
        <v>1810</v>
      </c>
      <c r="B10" s="2249"/>
      <c r="C10" s="2249"/>
      <c r="D10" s="2249"/>
      <c r="E10" s="2251"/>
      <c r="F10" s="783" t="s">
        <v>862</v>
      </c>
      <c r="G10" s="782"/>
      <c r="H10" s="784"/>
      <c r="I10" s="764"/>
      <c r="J10" s="765"/>
      <c r="K10" s="765"/>
    </row>
    <row r="11" spans="1:11" x14ac:dyDescent="0.2">
      <c r="A11" s="2248" t="s">
        <v>160</v>
      </c>
      <c r="B11" s="2249"/>
      <c r="C11" s="2249"/>
      <c r="D11" s="2249"/>
      <c r="E11" s="2250"/>
      <c r="F11" s="770" t="s">
        <v>852</v>
      </c>
      <c r="G11" s="771"/>
      <c r="H11" s="764"/>
      <c r="I11" s="764"/>
      <c r="J11" s="765"/>
      <c r="K11" s="773"/>
    </row>
    <row r="12" spans="1:11" ht="13.5" thickBot="1" x14ac:dyDescent="0.25">
      <c r="A12" s="2275" t="s">
        <v>905</v>
      </c>
      <c r="B12" s="2276"/>
      <c r="C12" s="2276"/>
      <c r="D12" s="2276"/>
      <c r="E12" s="2277"/>
      <c r="F12" s="1757"/>
      <c r="G12" s="1758">
        <f>SUM(G5:G11)</f>
        <v>0</v>
      </c>
      <c r="H12" s="1758">
        <f>SUM(H5:H11)</f>
        <v>0</v>
      </c>
      <c r="I12" s="1758">
        <f>SUM(I5:I11)</f>
        <v>0</v>
      </c>
      <c r="J12" s="1758">
        <f>SUM(J5:J11)</f>
        <v>0</v>
      </c>
      <c r="K12" s="1758">
        <f>SUM(K5:K11)</f>
        <v>0</v>
      </c>
    </row>
    <row r="13" spans="1:11" ht="13.5" thickTop="1" x14ac:dyDescent="0.2">
      <c r="A13" s="2272" t="s">
        <v>370</v>
      </c>
      <c r="B13" s="2273"/>
      <c r="C13" s="2273"/>
      <c r="D13" s="2273"/>
      <c r="E13" s="2274"/>
      <c r="F13" s="785"/>
      <c r="G13" s="786"/>
      <c r="H13" s="787"/>
      <c r="I13" s="788"/>
      <c r="J13" s="788"/>
      <c r="K13" s="788"/>
    </row>
    <row r="14" spans="1:11" x14ac:dyDescent="0.2">
      <c r="A14" s="2255" t="s">
        <v>456</v>
      </c>
      <c r="B14" s="2255"/>
      <c r="C14" s="2255"/>
      <c r="D14" s="2255"/>
      <c r="E14" s="2256"/>
      <c r="F14" s="789" t="s">
        <v>854</v>
      </c>
      <c r="G14" s="782"/>
      <c r="H14" s="764"/>
      <c r="I14" s="771"/>
      <c r="J14" s="773"/>
      <c r="K14" s="765"/>
    </row>
    <row r="15" spans="1:11" x14ac:dyDescent="0.2">
      <c r="A15" s="2249" t="s">
        <v>4</v>
      </c>
      <c r="B15" s="2249"/>
      <c r="C15" s="2249"/>
      <c r="D15" s="2249"/>
      <c r="E15" s="2250"/>
      <c r="F15" s="789" t="s">
        <v>855</v>
      </c>
      <c r="G15" s="771"/>
      <c r="H15" s="764"/>
      <c r="I15" s="764"/>
      <c r="J15" s="765"/>
      <c r="K15" s="765"/>
    </row>
    <row r="16" spans="1:11" x14ac:dyDescent="0.2">
      <c r="A16" s="2249" t="s">
        <v>298</v>
      </c>
      <c r="B16" s="2249"/>
      <c r="C16" s="2249"/>
      <c r="D16" s="2249"/>
      <c r="E16" s="2250"/>
      <c r="F16" s="789" t="s">
        <v>923</v>
      </c>
      <c r="G16" s="772"/>
      <c r="H16" s="767"/>
      <c r="I16" s="767"/>
      <c r="J16" s="769"/>
      <c r="K16" s="769"/>
    </row>
    <row r="17" spans="1:11" x14ac:dyDescent="0.2">
      <c r="A17" s="2280" t="s">
        <v>935</v>
      </c>
      <c r="B17" s="2280"/>
      <c r="C17" s="2280"/>
      <c r="D17" s="2280"/>
      <c r="E17" s="2281"/>
      <c r="F17" s="790"/>
      <c r="G17" s="791"/>
      <c r="H17" s="792"/>
      <c r="I17" s="792"/>
      <c r="J17" s="793"/>
      <c r="K17" s="794"/>
    </row>
    <row r="18" spans="1:11" x14ac:dyDescent="0.2">
      <c r="A18" s="2259" t="s">
        <v>368</v>
      </c>
      <c r="B18" s="2260"/>
      <c r="C18" s="2260"/>
      <c r="D18" s="2260"/>
      <c r="E18" s="2261"/>
      <c r="F18" s="789" t="s">
        <v>932</v>
      </c>
      <c r="G18" s="782"/>
      <c r="H18" s="782"/>
      <c r="I18" s="782"/>
      <c r="J18" s="765"/>
      <c r="K18" s="795"/>
    </row>
    <row r="19" spans="1:11" ht="21.75" customHeight="1" x14ac:dyDescent="0.2">
      <c r="A19" s="2257" t="s">
        <v>1806</v>
      </c>
      <c r="B19" s="2257"/>
      <c r="C19" s="2257"/>
      <c r="D19" s="2257"/>
      <c r="E19" s="2258"/>
      <c r="F19" s="789" t="s">
        <v>933</v>
      </c>
      <c r="G19" s="782"/>
      <c r="H19" s="782"/>
      <c r="I19" s="782"/>
      <c r="J19" s="765"/>
      <c r="K19" s="795"/>
    </row>
    <row r="20" spans="1:11" x14ac:dyDescent="0.2">
      <c r="A20" s="2259" t="s">
        <v>1811</v>
      </c>
      <c r="B20" s="2260"/>
      <c r="C20" s="2260"/>
      <c r="D20" s="2260"/>
      <c r="E20" s="2261"/>
      <c r="F20" s="789" t="s">
        <v>934</v>
      </c>
      <c r="G20" s="782"/>
      <c r="H20" s="782"/>
      <c r="I20" s="782"/>
      <c r="J20" s="765"/>
      <c r="K20" s="795"/>
    </row>
    <row r="21" spans="1:11" ht="13.5" thickBot="1" x14ac:dyDescent="0.25">
      <c r="A21" s="2278" t="s">
        <v>638</v>
      </c>
      <c r="B21" s="2278"/>
      <c r="C21" s="2278"/>
      <c r="D21" s="2278"/>
      <c r="E21" s="2278"/>
      <c r="F21" s="1759"/>
      <c r="G21" s="792"/>
      <c r="H21" s="796"/>
      <c r="I21" s="796"/>
      <c r="J21" s="1760">
        <f>SUM(J18:J20)</f>
        <v>0</v>
      </c>
      <c r="K21" s="793"/>
    </row>
    <row r="22" spans="1:11" ht="13.5" thickTop="1" x14ac:dyDescent="0.2">
      <c r="A22" s="2249" t="s">
        <v>1812</v>
      </c>
      <c r="B22" s="2249"/>
      <c r="C22" s="2249"/>
      <c r="D22" s="2249"/>
      <c r="E22" s="2250"/>
      <c r="F22" s="789" t="s">
        <v>862</v>
      </c>
      <c r="G22" s="782"/>
      <c r="H22" s="764"/>
      <c r="I22" s="764"/>
      <c r="J22" s="797"/>
      <c r="K22" s="765"/>
    </row>
    <row r="23" spans="1:11" ht="13.5" thickBot="1" x14ac:dyDescent="0.25">
      <c r="A23" s="2279" t="s">
        <v>906</v>
      </c>
      <c r="B23" s="2278"/>
      <c r="C23" s="2278"/>
      <c r="D23" s="2278"/>
      <c r="E23" s="2278"/>
      <c r="F23" s="1761"/>
      <c r="G23" s="1758">
        <f>SUM(G14:G16,G21,G22)</f>
        <v>0</v>
      </c>
      <c r="H23" s="1758">
        <f>SUM(H14:H16,H21,H22)</f>
        <v>0</v>
      </c>
      <c r="I23" s="1758">
        <f>SUM(I14:I16,I21,I22)</f>
        <v>0</v>
      </c>
      <c r="J23" s="1758">
        <f>SUM(J14:J16,J21,J22)</f>
        <v>0</v>
      </c>
      <c r="K23" s="1758">
        <f>SUM(K14:K16,K21,K22)</f>
        <v>0</v>
      </c>
    </row>
    <row r="24" spans="1:11" ht="14.25" thickTop="1" thickBot="1" x14ac:dyDescent="0.25">
      <c r="A24" s="2279" t="s">
        <v>1960</v>
      </c>
      <c r="B24" s="2278"/>
      <c r="C24" s="2278"/>
      <c r="D24" s="2278"/>
      <c r="E24" s="227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9" t="s">
        <v>541</v>
      </c>
      <c r="B41" s="2262"/>
      <c r="C41" s="2262"/>
      <c r="D41" s="2262"/>
      <c r="E41" s="2262"/>
      <c r="F41" s="226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22" sqref="B2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1905</v>
      </c>
      <c r="B1" s="2285"/>
      <c r="C1" s="2286"/>
      <c r="D1" s="826"/>
      <c r="E1" s="827"/>
      <c r="F1" s="827"/>
      <c r="G1" s="828"/>
      <c r="H1" s="829"/>
      <c r="I1" s="830"/>
      <c r="J1" s="2282"/>
      <c r="K1" s="2283"/>
      <c r="L1" s="2283"/>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49646</v>
      </c>
      <c r="D12" s="844">
        <v>778</v>
      </c>
      <c r="E12" s="844"/>
      <c r="F12" s="1760">
        <f>(C12+D12)-E12</f>
        <v>50424</v>
      </c>
      <c r="G12" s="843">
        <v>10</v>
      </c>
      <c r="H12" s="765"/>
      <c r="I12" s="765"/>
      <c r="J12" s="765"/>
      <c r="K12" s="1769">
        <f>(H12+I12)-J12</f>
        <v>0</v>
      </c>
      <c r="L12" s="1769">
        <f>F12-K12</f>
        <v>50424</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49646</v>
      </c>
      <c r="D16" s="1760">
        <f>SUM(D3,D5:D6,D8:D10,D12:D15)</f>
        <v>778</v>
      </c>
      <c r="E16" s="1760">
        <f>SUM(E3,E5:E6,E8:E10,E12:E15)</f>
        <v>0</v>
      </c>
      <c r="F16" s="1760">
        <f>SUM(F3,F5:F6,F8:F10,F12:F15)</f>
        <v>50424</v>
      </c>
      <c r="G16" s="843"/>
      <c r="H16" s="1760">
        <f>SUM(H3,H6,H8:H10,H12:H14,)</f>
        <v>0</v>
      </c>
      <c r="I16" s="1760">
        <f>SUM(I3,I6,I8:I10,I12:I14,)</f>
        <v>0</v>
      </c>
      <c r="J16" s="1760">
        <f>SUM(J3,J6,J8:J10,J12:J14,)</f>
        <v>0</v>
      </c>
      <c r="K16" s="1760">
        <f>(H16+I16)-J16</f>
        <v>0</v>
      </c>
      <c r="L16" s="1760">
        <f>F16-K16</f>
        <v>50424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22" sqref="B22"/>
      <selection pane="bottomLeft" activeCell="B22" sqref="B2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0" t="s">
        <v>1970</v>
      </c>
      <c r="B1" s="2291"/>
      <c r="C1" s="2291"/>
      <c r="D1" s="2291"/>
      <c r="E1" s="2291"/>
      <c r="F1" s="2292"/>
      <c r="G1" s="855"/>
    </row>
    <row r="2" spans="1:7" ht="15" customHeight="1" thickBot="1" x14ac:dyDescent="0.25">
      <c r="A2" s="2293" t="s">
        <v>477</v>
      </c>
      <c r="B2" s="2294"/>
      <c r="C2" s="2294"/>
      <c r="D2" s="2294"/>
      <c r="E2" s="2294"/>
      <c r="F2" s="229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6"/>
      <c r="B5" s="2297"/>
      <c r="C5" s="2297"/>
      <c r="D5" s="2297"/>
      <c r="E5" s="2297"/>
      <c r="F5" s="2297"/>
    </row>
    <row r="6" spans="1:7" ht="13.5" customHeight="1" thickBot="1" x14ac:dyDescent="0.25">
      <c r="A6" s="2287" t="s">
        <v>1104</v>
      </c>
      <c r="B6" s="2288"/>
      <c r="C6" s="2288"/>
      <c r="D6" s="2288"/>
      <c r="E6" s="2288"/>
      <c r="F6" s="228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2335796</v>
      </c>
      <c r="G8" s="865"/>
    </row>
    <row r="9" spans="1:7" x14ac:dyDescent="0.2">
      <c r="A9" s="869" t="s">
        <v>460</v>
      </c>
      <c r="B9" s="870" t="s">
        <v>1873</v>
      </c>
      <c r="C9" s="871"/>
      <c r="D9" s="869" t="s">
        <v>501</v>
      </c>
      <c r="E9" s="868"/>
      <c r="F9" s="1909">
        <f>'Expenditures 15-22'!K151</f>
        <v>0</v>
      </c>
      <c r="G9" s="872"/>
    </row>
    <row r="10" spans="1:7" x14ac:dyDescent="0.2">
      <c r="A10" s="869" t="s">
        <v>499</v>
      </c>
      <c r="B10" s="870" t="s">
        <v>1874</v>
      </c>
      <c r="C10" s="871"/>
      <c r="D10" s="869" t="s">
        <v>501</v>
      </c>
      <c r="E10" s="868"/>
      <c r="F10" s="1909">
        <f>'Expenditures 15-22'!K174</f>
        <v>0</v>
      </c>
      <c r="G10" s="872"/>
    </row>
    <row r="11" spans="1:7" x14ac:dyDescent="0.2">
      <c r="A11" s="869" t="s">
        <v>461</v>
      </c>
      <c r="B11" s="870" t="s">
        <v>1875</v>
      </c>
      <c r="C11" s="871"/>
      <c r="D11" s="869" t="s">
        <v>501</v>
      </c>
      <c r="E11" s="868"/>
      <c r="F11" s="1909">
        <f>'Expenditures 15-22'!K210</f>
        <v>0</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2335796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1592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1120895</v>
      </c>
      <c r="G53" s="865"/>
    </row>
    <row r="54" spans="1:7" x14ac:dyDescent="0.2">
      <c r="A54" s="869" t="s">
        <v>459</v>
      </c>
      <c r="B54" s="869" t="s">
        <v>1476</v>
      </c>
      <c r="C54" s="889" t="s">
        <v>982</v>
      </c>
      <c r="D54" s="885" t="s">
        <v>1095</v>
      </c>
      <c r="E54" s="868"/>
      <c r="F54" s="1913">
        <f>'Expenditures 15-22'!G114</f>
        <v>778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1123265</v>
      </c>
      <c r="G76" s="865"/>
    </row>
    <row r="77" spans="1:8" s="893" customFormat="1" ht="12" customHeight="1" thickTop="1" thickBot="1" x14ac:dyDescent="0.25">
      <c r="A77" s="1779"/>
      <c r="B77" s="1776"/>
      <c r="C77" s="1772"/>
      <c r="D77" s="1777" t="s">
        <v>1896</v>
      </c>
      <c r="E77" s="1774"/>
      <c r="F77" s="1780">
        <f>(F14-F76)</f>
        <v>1212531</v>
      </c>
      <c r="G77" s="869"/>
    </row>
    <row r="78" spans="1:8" s="893" customFormat="1" ht="12" customHeight="1" thickTop="1" x14ac:dyDescent="0.2">
      <c r="A78" s="1781"/>
      <c r="B78" s="1776"/>
      <c r="C78" s="1772"/>
      <c r="D78" s="1777" t="s">
        <v>2057</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87" t="s">
        <v>1105</v>
      </c>
      <c r="B81" s="2288"/>
      <c r="C81" s="2288"/>
      <c r="D81" s="2288"/>
      <c r="E81" s="2288"/>
      <c r="F81" s="228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0</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0</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4379</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103450</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11981</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34114</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153924</v>
      </c>
    </row>
    <row r="175" spans="1:7" ht="12" customHeight="1" x14ac:dyDescent="0.2">
      <c r="A175" s="1770"/>
      <c r="B175" s="1784"/>
      <c r="C175" s="1785"/>
      <c r="D175" s="1786" t="s">
        <v>2052</v>
      </c>
      <c r="E175" s="1787"/>
      <c r="F175" s="1789">
        <f>'PCTC-OEPP 27-28'!F77-F174</f>
        <v>1058607</v>
      </c>
    </row>
    <row r="176" spans="1:7" ht="12" customHeight="1" x14ac:dyDescent="0.2">
      <c r="A176" s="1770"/>
      <c r="B176" s="1784"/>
      <c r="C176" s="1785"/>
      <c r="D176" s="1786" t="s">
        <v>1814</v>
      </c>
      <c r="E176" s="1787"/>
      <c r="F176" s="1789">
        <f>'Cap Outlay Deprec 26'!I18</f>
        <v>0</v>
      </c>
    </row>
    <row r="177" spans="1:7" ht="12" customHeight="1" x14ac:dyDescent="0.2">
      <c r="A177" s="1770"/>
      <c r="B177" s="1784"/>
      <c r="C177" s="1785"/>
      <c r="D177" s="1786" t="s">
        <v>2053</v>
      </c>
      <c r="E177" s="1787"/>
      <c r="F177" s="1789">
        <f>F175+F176</f>
        <v>1058607</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2054</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B22" sqref="B2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01" t="s">
        <v>1815</v>
      </c>
      <c r="B4" s="2302"/>
      <c r="C4" s="2302"/>
      <c r="D4" s="2302"/>
      <c r="E4" s="2302"/>
      <c r="F4" s="2302"/>
      <c r="G4" s="2303"/>
    </row>
    <row r="5" spans="1:7" x14ac:dyDescent="0.25">
      <c r="A5" s="2304"/>
      <c r="B5" s="2305"/>
      <c r="C5" s="2305"/>
      <c r="D5" s="2305"/>
      <c r="E5" s="2305"/>
      <c r="F5" s="2305"/>
      <c r="G5" s="2306"/>
    </row>
    <row r="6" spans="1:7" ht="18.75" x14ac:dyDescent="0.25">
      <c r="A6" s="1942" t="s">
        <v>2132</v>
      </c>
      <c r="B6" s="1943"/>
      <c r="C6" s="1943"/>
      <c r="D6" s="1943"/>
      <c r="E6" s="1943"/>
      <c r="F6" s="1943"/>
      <c r="G6" s="1944"/>
    </row>
    <row r="7" spans="1:7" ht="18.75" x14ac:dyDescent="0.25">
      <c r="A7" s="1534" t="s">
        <v>1816</v>
      </c>
      <c r="B7" s="1535"/>
      <c r="C7" s="1535"/>
      <c r="D7" s="1535"/>
      <c r="E7" s="1535"/>
      <c r="F7" s="1535"/>
      <c r="G7" s="1536"/>
    </row>
    <row r="8" spans="1:7" ht="30.75" customHeight="1" x14ac:dyDescent="0.25">
      <c r="A8" s="2307" t="s">
        <v>1928</v>
      </c>
      <c r="B8" s="2308"/>
      <c r="C8" s="2308"/>
      <c r="D8" s="2308"/>
      <c r="E8" s="2308"/>
      <c r="F8" s="2308"/>
      <c r="G8" s="2309"/>
    </row>
    <row r="9" spans="1:7" ht="15.75" customHeight="1" x14ac:dyDescent="0.25">
      <c r="A9" s="2310" t="s">
        <v>1903</v>
      </c>
      <c r="B9" s="2311"/>
      <c r="C9" s="2311"/>
      <c r="D9" s="2311"/>
      <c r="E9" s="2311"/>
      <c r="F9" s="2311"/>
      <c r="G9" s="2312"/>
    </row>
    <row r="10" spans="1:7" ht="35.25" customHeight="1" x14ac:dyDescent="0.25">
      <c r="A10" s="2307" t="s">
        <v>2133</v>
      </c>
      <c r="B10" s="2308"/>
      <c r="C10" s="2308"/>
      <c r="D10" s="2308"/>
      <c r="E10" s="2308"/>
      <c r="F10" s="2308"/>
      <c r="G10" s="2309"/>
    </row>
    <row r="11" spans="1:7" ht="15" customHeight="1" x14ac:dyDescent="0.25">
      <c r="A11" s="1537" t="s">
        <v>1817</v>
      </c>
      <c r="B11" s="1538"/>
      <c r="C11" s="1538"/>
      <c r="D11" s="1538"/>
      <c r="E11" s="1538"/>
      <c r="F11" s="1538"/>
      <c r="G11" s="1539"/>
    </row>
    <row r="12" spans="1:7" ht="17.25" customHeight="1" x14ac:dyDescent="0.25">
      <c r="A12" s="2307" t="s">
        <v>1930</v>
      </c>
      <c r="B12" s="2308"/>
      <c r="C12" s="2308"/>
      <c r="D12" s="2308"/>
      <c r="E12" s="2308"/>
      <c r="F12" s="2308"/>
      <c r="G12" s="2309"/>
    </row>
    <row r="13" spans="1:7" ht="15" customHeight="1" x14ac:dyDescent="0.25">
      <c r="A13" s="1537" t="s">
        <v>1822</v>
      </c>
      <c r="B13" s="1538"/>
      <c r="C13" s="1538"/>
      <c r="D13" s="1538"/>
      <c r="E13" s="1538"/>
      <c r="F13" s="1538"/>
      <c r="G13" s="1539"/>
    </row>
    <row r="14" spans="1:7" ht="32.25" customHeight="1" x14ac:dyDescent="0.25">
      <c r="A14" s="2298" t="s">
        <v>1971</v>
      </c>
      <c r="B14" s="2299"/>
      <c r="C14" s="2299"/>
      <c r="D14" s="2299"/>
      <c r="E14" s="2299"/>
      <c r="F14" s="2299"/>
      <c r="G14" s="2300"/>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9" t="s">
        <v>2124</v>
      </c>
      <c r="B18" s="1940" t="s">
        <v>2125</v>
      </c>
      <c r="C18" s="1941" t="s">
        <v>2126</v>
      </c>
      <c r="D18" s="1844">
        <v>35545</v>
      </c>
      <c r="E18" s="1540">
        <f t="shared" ref="E18:E142" si="0">IF(D18&lt;=25000,D18,IF(D18&gt;25000,25000,0))</f>
        <v>25000</v>
      </c>
      <c r="F18" s="194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10545</v>
      </c>
      <c r="H18" s="1647"/>
    </row>
    <row r="19" spans="1:8" x14ac:dyDescent="0.25">
      <c r="A19" s="1946"/>
      <c r="B19" s="1947"/>
      <c r="C19" s="1948"/>
      <c r="D19" s="1844"/>
      <c r="E19" s="1540">
        <f t="shared" ref="E19:E141" si="2">IF(D19&lt;=25000,D19,IF(D19&gt;25000,25000,0))</f>
        <v>0</v>
      </c>
      <c r="F19" s="1945">
        <f t="shared" si="1"/>
        <v>0</v>
      </c>
      <c r="G19" s="1793">
        <f t="shared" ref="G19:G141" si="3">IF(F19=0,0,D19-F19)</f>
        <v>0</v>
      </c>
    </row>
    <row r="20" spans="1:8" x14ac:dyDescent="0.25">
      <c r="A20" s="1653"/>
      <c r="B20" s="1933"/>
      <c r="C20" s="1656"/>
      <c r="D20" s="1844"/>
      <c r="E20" s="1540">
        <f t="shared" si="2"/>
        <v>0</v>
      </c>
      <c r="F20" s="1945">
        <f t="shared" si="1"/>
        <v>0</v>
      </c>
      <c r="G20" s="1793">
        <f t="shared" si="3"/>
        <v>0</v>
      </c>
    </row>
    <row r="21" spans="1:8" x14ac:dyDescent="0.25">
      <c r="A21" s="1653"/>
      <c r="B21" s="1933"/>
      <c r="C21" s="1656"/>
      <c r="D21" s="1844"/>
      <c r="E21" s="1540">
        <f t="shared" si="2"/>
        <v>0</v>
      </c>
      <c r="F21" s="1945">
        <f t="shared" si="1"/>
        <v>0</v>
      </c>
      <c r="G21" s="1793">
        <f t="shared" si="3"/>
        <v>0</v>
      </c>
    </row>
    <row r="22" spans="1:8" x14ac:dyDescent="0.25">
      <c r="A22" s="1653"/>
      <c r="B22" s="1933"/>
      <c r="C22" s="1656"/>
      <c r="D22" s="1844"/>
      <c r="E22" s="1540">
        <f t="shared" si="2"/>
        <v>0</v>
      </c>
      <c r="F22" s="1945">
        <f t="shared" si="1"/>
        <v>0</v>
      </c>
      <c r="G22" s="1793">
        <f t="shared" si="3"/>
        <v>0</v>
      </c>
    </row>
    <row r="23" spans="1:8" x14ac:dyDescent="0.25">
      <c r="A23" s="1653"/>
      <c r="B23" s="1933"/>
      <c r="C23" s="1656"/>
      <c r="D23" s="1844"/>
      <c r="E23" s="1540">
        <f t="shared" si="2"/>
        <v>0</v>
      </c>
      <c r="F23" s="1945">
        <f t="shared" si="1"/>
        <v>0</v>
      </c>
      <c r="G23" s="1793">
        <f t="shared" si="3"/>
        <v>0</v>
      </c>
    </row>
    <row r="24" spans="1:8" x14ac:dyDescent="0.25">
      <c r="A24" s="1653"/>
      <c r="B24" s="1933"/>
      <c r="C24" s="1656"/>
      <c r="D24" s="1844"/>
      <c r="E24" s="1540">
        <f t="shared" si="2"/>
        <v>0</v>
      </c>
      <c r="F24" s="1945">
        <f t="shared" si="1"/>
        <v>0</v>
      </c>
      <c r="G24" s="1793">
        <f t="shared" si="3"/>
        <v>0</v>
      </c>
    </row>
    <row r="25" spans="1:8" x14ac:dyDescent="0.25">
      <c r="A25" s="1653"/>
      <c r="B25" s="1933"/>
      <c r="C25" s="1656"/>
      <c r="D25" s="1844"/>
      <c r="E25" s="1540">
        <f t="shared" si="2"/>
        <v>0</v>
      </c>
      <c r="F25" s="1945">
        <f t="shared" si="1"/>
        <v>0</v>
      </c>
      <c r="G25" s="1793">
        <f t="shared" si="3"/>
        <v>0</v>
      </c>
    </row>
    <row r="26" spans="1:8" x14ac:dyDescent="0.25">
      <c r="A26" s="1653"/>
      <c r="B26" s="1933"/>
      <c r="C26" s="1656"/>
      <c r="D26" s="1844"/>
      <c r="E26" s="1540">
        <f t="shared" si="2"/>
        <v>0</v>
      </c>
      <c r="F26" s="1945">
        <f t="shared" si="1"/>
        <v>0</v>
      </c>
      <c r="G26" s="1793">
        <f t="shared" si="3"/>
        <v>0</v>
      </c>
    </row>
    <row r="27" spans="1:8" x14ac:dyDescent="0.25">
      <c r="A27" s="1653"/>
      <c r="B27" s="1933"/>
      <c r="C27" s="1654"/>
      <c r="D27" s="1844"/>
      <c r="E27" s="1540">
        <f t="shared" si="2"/>
        <v>0</v>
      </c>
      <c r="F27" s="1945">
        <f t="shared" si="1"/>
        <v>0</v>
      </c>
      <c r="G27" s="1793">
        <f t="shared" si="3"/>
        <v>0</v>
      </c>
    </row>
    <row r="28" spans="1:8" x14ac:dyDescent="0.25">
      <c r="A28" s="1653"/>
      <c r="B28" s="1933"/>
      <c r="C28" s="1654"/>
      <c r="D28" s="1844"/>
      <c r="E28" s="1540">
        <f t="shared" si="2"/>
        <v>0</v>
      </c>
      <c r="F28" s="1945">
        <f t="shared" si="1"/>
        <v>0</v>
      </c>
      <c r="G28" s="1793">
        <f t="shared" si="3"/>
        <v>0</v>
      </c>
    </row>
    <row r="29" spans="1:8" x14ac:dyDescent="0.25">
      <c r="A29" s="1653"/>
      <c r="B29" s="1933"/>
      <c r="C29" s="1654"/>
      <c r="D29" s="1844"/>
      <c r="E29" s="1540">
        <f t="shared" si="2"/>
        <v>0</v>
      </c>
      <c r="F29" s="1945">
        <f t="shared" si="1"/>
        <v>0</v>
      </c>
      <c r="G29" s="1793">
        <f t="shared" si="3"/>
        <v>0</v>
      </c>
    </row>
    <row r="30" spans="1:8" x14ac:dyDescent="0.25">
      <c r="A30" s="1653"/>
      <c r="B30" s="1933"/>
      <c r="C30" s="1654"/>
      <c r="D30" s="1844"/>
      <c r="E30" s="1540">
        <f t="shared" si="2"/>
        <v>0</v>
      </c>
      <c r="F30" s="1945">
        <f t="shared" si="1"/>
        <v>0</v>
      </c>
      <c r="G30" s="1793">
        <f t="shared" si="3"/>
        <v>0</v>
      </c>
    </row>
    <row r="31" spans="1:8" x14ac:dyDescent="0.25">
      <c r="A31" s="1653"/>
      <c r="B31" s="1933"/>
      <c r="C31" s="1654"/>
      <c r="D31" s="1844"/>
      <c r="E31" s="1540">
        <f t="shared" si="2"/>
        <v>0</v>
      </c>
      <c r="F31" s="1945">
        <f t="shared" si="1"/>
        <v>0</v>
      </c>
      <c r="G31" s="1793">
        <f t="shared" si="3"/>
        <v>0</v>
      </c>
    </row>
    <row r="32" spans="1:8" x14ac:dyDescent="0.25">
      <c r="A32" s="1653"/>
      <c r="B32" s="1933"/>
      <c r="C32" s="1654"/>
      <c r="D32" s="1844"/>
      <c r="E32" s="1540">
        <f t="shared" si="2"/>
        <v>0</v>
      </c>
      <c r="F32" s="1945">
        <f t="shared" si="1"/>
        <v>0</v>
      </c>
      <c r="G32" s="1793">
        <f t="shared" si="3"/>
        <v>0</v>
      </c>
    </row>
    <row r="33" spans="1:7" x14ac:dyDescent="0.25">
      <c r="A33" s="1653"/>
      <c r="B33" s="1933"/>
      <c r="C33" s="1654"/>
      <c r="D33" s="1844"/>
      <c r="E33" s="1540">
        <f t="shared" si="2"/>
        <v>0</v>
      </c>
      <c r="F33" s="1945">
        <f t="shared" si="1"/>
        <v>0</v>
      </c>
      <c r="G33" s="1793">
        <f t="shared" si="3"/>
        <v>0</v>
      </c>
    </row>
    <row r="34" spans="1:7" x14ac:dyDescent="0.25">
      <c r="A34" s="1653"/>
      <c r="B34" s="1933"/>
      <c r="C34" s="1654"/>
      <c r="D34" s="1844"/>
      <c r="E34" s="1540">
        <f t="shared" si="2"/>
        <v>0</v>
      </c>
      <c r="F34" s="1945">
        <f t="shared" si="1"/>
        <v>0</v>
      </c>
      <c r="G34" s="1793">
        <f t="shared" si="3"/>
        <v>0</v>
      </c>
    </row>
    <row r="35" spans="1:7" x14ac:dyDescent="0.25">
      <c r="A35" s="1653"/>
      <c r="B35" s="1933"/>
      <c r="C35" s="1654"/>
      <c r="D35" s="1844"/>
      <c r="E35" s="1540">
        <f t="shared" si="2"/>
        <v>0</v>
      </c>
      <c r="F35" s="1945">
        <f t="shared" si="1"/>
        <v>0</v>
      </c>
      <c r="G35" s="1793">
        <f t="shared" si="3"/>
        <v>0</v>
      </c>
    </row>
    <row r="36" spans="1:7" x14ac:dyDescent="0.25">
      <c r="A36" s="1653"/>
      <c r="B36" s="1933"/>
      <c r="C36" s="1654"/>
      <c r="D36" s="1844"/>
      <c r="E36" s="1540">
        <f t="shared" si="2"/>
        <v>0</v>
      </c>
      <c r="F36" s="1945">
        <f t="shared" si="1"/>
        <v>0</v>
      </c>
      <c r="G36" s="1793">
        <f t="shared" si="3"/>
        <v>0</v>
      </c>
    </row>
    <row r="37" spans="1:7" x14ac:dyDescent="0.25">
      <c r="A37" s="1653"/>
      <c r="B37" s="1933"/>
      <c r="C37" s="1654"/>
      <c r="D37" s="1844"/>
      <c r="E37" s="1540">
        <f t="shared" si="2"/>
        <v>0</v>
      </c>
      <c r="F37" s="1945">
        <f t="shared" si="1"/>
        <v>0</v>
      </c>
      <c r="G37" s="1793">
        <f t="shared" si="3"/>
        <v>0</v>
      </c>
    </row>
    <row r="38" spans="1:7" x14ac:dyDescent="0.25">
      <c r="A38" s="1653"/>
      <c r="B38" s="1933"/>
      <c r="C38" s="1654"/>
      <c r="D38" s="1844"/>
      <c r="E38" s="1540">
        <f t="shared" si="2"/>
        <v>0</v>
      </c>
      <c r="F38" s="1945">
        <f t="shared" si="1"/>
        <v>0</v>
      </c>
      <c r="G38" s="1793">
        <f t="shared" si="3"/>
        <v>0</v>
      </c>
    </row>
    <row r="39" spans="1:7" x14ac:dyDescent="0.25">
      <c r="A39" s="1653"/>
      <c r="B39" s="1934"/>
      <c r="C39" s="1654"/>
      <c r="D39" s="1844"/>
      <c r="E39" s="1540">
        <f t="shared" si="2"/>
        <v>0</v>
      </c>
      <c r="F39" s="1945">
        <f t="shared" si="1"/>
        <v>0</v>
      </c>
      <c r="G39" s="1793">
        <f t="shared" si="3"/>
        <v>0</v>
      </c>
    </row>
    <row r="40" spans="1:7" x14ac:dyDescent="0.25">
      <c r="A40" s="1653"/>
      <c r="B40" s="1934"/>
      <c r="C40" s="1654"/>
      <c r="D40" s="1844"/>
      <c r="E40" s="1540">
        <f t="shared" si="2"/>
        <v>0</v>
      </c>
      <c r="F40" s="1945">
        <f t="shared" si="1"/>
        <v>0</v>
      </c>
      <c r="G40" s="1793">
        <f t="shared" si="3"/>
        <v>0</v>
      </c>
    </row>
    <row r="41" spans="1:7" x14ac:dyDescent="0.25">
      <c r="A41" s="1653"/>
      <c r="B41" s="1934"/>
      <c r="C41" s="1654"/>
      <c r="D41" s="1844"/>
      <c r="E41" s="1540">
        <f t="shared" si="2"/>
        <v>0</v>
      </c>
      <c r="F41" s="1945">
        <f t="shared" si="1"/>
        <v>0</v>
      </c>
      <c r="G41" s="1793">
        <f t="shared" si="3"/>
        <v>0</v>
      </c>
    </row>
    <row r="42" spans="1:7" x14ac:dyDescent="0.25">
      <c r="A42" s="1653"/>
      <c r="B42" s="1934"/>
      <c r="C42" s="1654"/>
      <c r="D42" s="1844"/>
      <c r="E42" s="1540">
        <f t="shared" si="2"/>
        <v>0</v>
      </c>
      <c r="F42" s="1945">
        <f t="shared" si="1"/>
        <v>0</v>
      </c>
      <c r="G42" s="1793">
        <f t="shared" si="3"/>
        <v>0</v>
      </c>
    </row>
    <row r="43" spans="1:7" x14ac:dyDescent="0.25">
      <c r="A43" s="1653"/>
      <c r="B43" s="1934"/>
      <c r="C43" s="1654"/>
      <c r="D43" s="1844"/>
      <c r="E43" s="1540">
        <f t="shared" si="2"/>
        <v>0</v>
      </c>
      <c r="F43" s="1945">
        <f t="shared" si="1"/>
        <v>0</v>
      </c>
      <c r="G43" s="1793">
        <f t="shared" si="3"/>
        <v>0</v>
      </c>
    </row>
    <row r="44" spans="1:7" x14ac:dyDescent="0.25">
      <c r="A44" s="1653"/>
      <c r="B44" s="1934"/>
      <c r="C44" s="1654"/>
      <c r="D44" s="1844"/>
      <c r="E44" s="1540">
        <f t="shared" si="2"/>
        <v>0</v>
      </c>
      <c r="F44" s="1945">
        <f t="shared" si="1"/>
        <v>0</v>
      </c>
      <c r="G44" s="1793">
        <f t="shared" si="3"/>
        <v>0</v>
      </c>
    </row>
    <row r="45" spans="1:7" x14ac:dyDescent="0.25">
      <c r="A45" s="1653"/>
      <c r="B45" s="1934"/>
      <c r="C45" s="1654"/>
      <c r="D45" s="1844"/>
      <c r="E45" s="1540">
        <f t="shared" si="2"/>
        <v>0</v>
      </c>
      <c r="F45" s="1945">
        <f t="shared" si="1"/>
        <v>0</v>
      </c>
      <c r="G45" s="1793">
        <f t="shared" si="3"/>
        <v>0</v>
      </c>
    </row>
    <row r="46" spans="1:7" x14ac:dyDescent="0.25">
      <c r="A46" s="1653"/>
      <c r="B46" s="1934"/>
      <c r="C46" s="1654"/>
      <c r="D46" s="1844"/>
      <c r="E46" s="1540">
        <f t="shared" si="2"/>
        <v>0</v>
      </c>
      <c r="F46" s="1945">
        <f t="shared" si="1"/>
        <v>0</v>
      </c>
      <c r="G46" s="1793">
        <f t="shared" si="3"/>
        <v>0</v>
      </c>
    </row>
    <row r="47" spans="1:7" x14ac:dyDescent="0.25">
      <c r="A47" s="1653"/>
      <c r="B47" s="1667"/>
      <c r="C47" s="1654"/>
      <c r="D47" s="1844"/>
      <c r="E47" s="1540">
        <f t="shared" si="2"/>
        <v>0</v>
      </c>
      <c r="F47" s="1945">
        <f t="shared" si="1"/>
        <v>0</v>
      </c>
      <c r="G47" s="1793">
        <f t="shared" si="3"/>
        <v>0</v>
      </c>
    </row>
    <row r="48" spans="1:7" x14ac:dyDescent="0.25">
      <c r="A48" s="1653"/>
      <c r="B48" s="1667"/>
      <c r="C48" s="1654"/>
      <c r="D48" s="1844"/>
      <c r="E48" s="1540">
        <f t="shared" si="2"/>
        <v>0</v>
      </c>
      <c r="F48" s="1945">
        <f t="shared" si="1"/>
        <v>0</v>
      </c>
      <c r="G48" s="1793">
        <f t="shared" si="3"/>
        <v>0</v>
      </c>
    </row>
    <row r="49" spans="1:7" x14ac:dyDescent="0.25">
      <c r="A49" s="1653"/>
      <c r="B49" s="1667"/>
      <c r="C49" s="1654"/>
      <c r="D49" s="1844"/>
      <c r="E49" s="1540">
        <f t="shared" si="2"/>
        <v>0</v>
      </c>
      <c r="F49" s="1945">
        <f t="shared" si="1"/>
        <v>0</v>
      </c>
      <c r="G49" s="1793">
        <f t="shared" si="3"/>
        <v>0</v>
      </c>
    </row>
    <row r="50" spans="1:7" x14ac:dyDescent="0.25">
      <c r="A50" s="1653"/>
      <c r="B50" s="1667"/>
      <c r="C50" s="1654"/>
      <c r="D50" s="1844"/>
      <c r="E50" s="1540">
        <f t="shared" si="2"/>
        <v>0</v>
      </c>
      <c r="F50" s="1945">
        <f t="shared" si="1"/>
        <v>0</v>
      </c>
      <c r="G50" s="1793">
        <f t="shared" si="3"/>
        <v>0</v>
      </c>
    </row>
    <row r="51" spans="1:7" x14ac:dyDescent="0.25">
      <c r="A51" s="1653"/>
      <c r="B51" s="1667"/>
      <c r="C51" s="1654"/>
      <c r="D51" s="1844"/>
      <c r="E51" s="1540">
        <f t="shared" si="2"/>
        <v>0</v>
      </c>
      <c r="F51" s="1945">
        <f t="shared" si="1"/>
        <v>0</v>
      </c>
      <c r="G51" s="1793">
        <f t="shared" si="3"/>
        <v>0</v>
      </c>
    </row>
    <row r="52" spans="1:7" x14ac:dyDescent="0.25">
      <c r="A52" s="1653"/>
      <c r="B52" s="1667"/>
      <c r="C52" s="1654"/>
      <c r="D52" s="1844"/>
      <c r="E52" s="1540">
        <f t="shared" si="2"/>
        <v>0</v>
      </c>
      <c r="F52" s="1945">
        <f t="shared" si="1"/>
        <v>0</v>
      </c>
      <c r="G52" s="1793">
        <f t="shared" si="3"/>
        <v>0</v>
      </c>
    </row>
    <row r="53" spans="1:7" x14ac:dyDescent="0.25">
      <c r="A53" s="1653"/>
      <c r="B53" s="1667"/>
      <c r="C53" s="1654"/>
      <c r="D53" s="1844"/>
      <c r="E53" s="1540">
        <f t="shared" si="2"/>
        <v>0</v>
      </c>
      <c r="F53" s="1945">
        <f t="shared" si="1"/>
        <v>0</v>
      </c>
      <c r="G53" s="1793">
        <f t="shared" si="3"/>
        <v>0</v>
      </c>
    </row>
    <row r="54" spans="1:7" x14ac:dyDescent="0.25">
      <c r="A54" s="1653"/>
      <c r="B54" s="1667"/>
      <c r="C54" s="1654"/>
      <c r="D54" s="1844"/>
      <c r="E54" s="1540">
        <f t="shared" si="2"/>
        <v>0</v>
      </c>
      <c r="F54" s="1945">
        <f t="shared" si="1"/>
        <v>0</v>
      </c>
      <c r="G54" s="1793">
        <f t="shared" si="3"/>
        <v>0</v>
      </c>
    </row>
    <row r="55" spans="1:7" x14ac:dyDescent="0.25">
      <c r="A55" s="1653"/>
      <c r="B55" s="1667"/>
      <c r="C55" s="1654"/>
      <c r="D55" s="1844"/>
      <c r="E55" s="1540">
        <f t="shared" si="2"/>
        <v>0</v>
      </c>
      <c r="F55" s="1945">
        <f t="shared" si="1"/>
        <v>0</v>
      </c>
      <c r="G55" s="1793">
        <f t="shared" si="3"/>
        <v>0</v>
      </c>
    </row>
    <row r="56" spans="1:7" x14ac:dyDescent="0.25">
      <c r="A56" s="1653"/>
      <c r="B56" s="1667"/>
      <c r="C56" s="1654"/>
      <c r="D56" s="1844"/>
      <c r="E56" s="1540">
        <f t="shared" si="2"/>
        <v>0</v>
      </c>
      <c r="F56" s="1945">
        <f t="shared" si="1"/>
        <v>0</v>
      </c>
      <c r="G56" s="1793">
        <f t="shared" si="3"/>
        <v>0</v>
      </c>
    </row>
    <row r="57" spans="1:7" x14ac:dyDescent="0.25">
      <c r="A57" s="1653"/>
      <c r="B57" s="1667"/>
      <c r="C57" s="1654"/>
      <c r="D57" s="1844"/>
      <c r="E57" s="1540">
        <f t="shared" si="2"/>
        <v>0</v>
      </c>
      <c r="F57" s="1945">
        <f t="shared" si="1"/>
        <v>0</v>
      </c>
      <c r="G57" s="1793">
        <f t="shared" si="3"/>
        <v>0</v>
      </c>
    </row>
    <row r="58" spans="1:7" x14ac:dyDescent="0.25">
      <c r="A58" s="1653"/>
      <c r="B58" s="1667"/>
      <c r="C58" s="1654"/>
      <c r="D58" s="1844"/>
      <c r="E58" s="1540">
        <f t="shared" si="2"/>
        <v>0</v>
      </c>
      <c r="F58" s="1945">
        <f t="shared" si="1"/>
        <v>0</v>
      </c>
      <c r="G58" s="1793">
        <f t="shared" si="3"/>
        <v>0</v>
      </c>
    </row>
    <row r="59" spans="1:7" x14ac:dyDescent="0.25">
      <c r="A59" s="1653"/>
      <c r="B59" s="1667"/>
      <c r="C59" s="1654"/>
      <c r="D59" s="1844"/>
      <c r="E59" s="1540">
        <f t="shared" si="2"/>
        <v>0</v>
      </c>
      <c r="F59" s="1945">
        <f t="shared" si="1"/>
        <v>0</v>
      </c>
      <c r="G59" s="1793">
        <f t="shared" si="3"/>
        <v>0</v>
      </c>
    </row>
    <row r="60" spans="1:7" x14ac:dyDescent="0.25">
      <c r="A60" s="1653"/>
      <c r="B60" s="1667"/>
      <c r="C60" s="1654"/>
      <c r="D60" s="1844"/>
      <c r="E60" s="1540">
        <f t="shared" si="2"/>
        <v>0</v>
      </c>
      <c r="F60" s="1945">
        <f t="shared" si="1"/>
        <v>0</v>
      </c>
      <c r="G60" s="1793">
        <f t="shared" si="3"/>
        <v>0</v>
      </c>
    </row>
    <row r="61" spans="1:7" x14ac:dyDescent="0.25">
      <c r="A61" s="1653"/>
      <c r="B61" s="1667"/>
      <c r="C61" s="1654"/>
      <c r="D61" s="1844"/>
      <c r="E61" s="1540">
        <f t="shared" si="2"/>
        <v>0</v>
      </c>
      <c r="F61" s="1945">
        <f t="shared" si="1"/>
        <v>0</v>
      </c>
      <c r="G61" s="1793">
        <f t="shared" si="3"/>
        <v>0</v>
      </c>
    </row>
    <row r="62" spans="1:7" x14ac:dyDescent="0.25">
      <c r="A62" s="1653"/>
      <c r="B62" s="1667"/>
      <c r="C62" s="1654"/>
      <c r="D62" s="1844"/>
      <c r="E62" s="1540">
        <f t="shared" si="2"/>
        <v>0</v>
      </c>
      <c r="F62" s="1945">
        <f t="shared" si="1"/>
        <v>0</v>
      </c>
      <c r="G62" s="1793">
        <f t="shared" si="3"/>
        <v>0</v>
      </c>
    </row>
    <row r="63" spans="1:7" x14ac:dyDescent="0.25">
      <c r="A63" s="1653"/>
      <c r="B63" s="1667"/>
      <c r="C63" s="1654"/>
      <c r="D63" s="1844"/>
      <c r="E63" s="1540">
        <f t="shared" si="2"/>
        <v>0</v>
      </c>
      <c r="F63" s="1945">
        <f t="shared" si="1"/>
        <v>0</v>
      </c>
      <c r="G63" s="1793">
        <f t="shared" si="3"/>
        <v>0</v>
      </c>
    </row>
    <row r="64" spans="1:7" x14ac:dyDescent="0.25">
      <c r="A64" s="1653"/>
      <c r="B64" s="1667"/>
      <c r="C64" s="1654"/>
      <c r="D64" s="1844"/>
      <c r="E64" s="1540">
        <f t="shared" si="2"/>
        <v>0</v>
      </c>
      <c r="F64" s="1945">
        <f t="shared" si="1"/>
        <v>0</v>
      </c>
      <c r="G64" s="1793">
        <f t="shared" si="3"/>
        <v>0</v>
      </c>
    </row>
    <row r="65" spans="1:7" x14ac:dyDescent="0.25">
      <c r="A65" s="1655"/>
      <c r="B65" s="1667"/>
      <c r="C65" s="1656"/>
      <c r="D65" s="1844"/>
      <c r="E65" s="1540">
        <f t="shared" si="2"/>
        <v>0</v>
      </c>
      <c r="F65" s="1945">
        <f t="shared" si="1"/>
        <v>0</v>
      </c>
      <c r="G65" s="1793">
        <f t="shared" si="3"/>
        <v>0</v>
      </c>
    </row>
    <row r="66" spans="1:7" x14ac:dyDescent="0.25">
      <c r="A66" s="1653"/>
      <c r="B66" s="1667"/>
      <c r="C66" s="1654"/>
      <c r="D66" s="1844"/>
      <c r="E66" s="1540">
        <f t="shared" si="2"/>
        <v>0</v>
      </c>
      <c r="F66" s="1945">
        <f t="shared" si="1"/>
        <v>0</v>
      </c>
      <c r="G66" s="1793">
        <f t="shared" si="3"/>
        <v>0</v>
      </c>
    </row>
    <row r="67" spans="1:7" x14ac:dyDescent="0.25">
      <c r="A67" s="1653"/>
      <c r="B67" s="1667"/>
      <c r="C67" s="1654"/>
      <c r="D67" s="1844"/>
      <c r="E67" s="1540">
        <f t="shared" si="2"/>
        <v>0</v>
      </c>
      <c r="F67" s="1945">
        <f t="shared" si="1"/>
        <v>0</v>
      </c>
      <c r="G67" s="1793">
        <f t="shared" si="3"/>
        <v>0</v>
      </c>
    </row>
    <row r="68" spans="1:7" x14ac:dyDescent="0.25">
      <c r="A68" s="1653"/>
      <c r="B68" s="1667"/>
      <c r="C68" s="1654"/>
      <c r="D68" s="1844"/>
      <c r="E68" s="1540">
        <f t="shared" si="2"/>
        <v>0</v>
      </c>
      <c r="F68" s="1945">
        <f t="shared" si="1"/>
        <v>0</v>
      </c>
      <c r="G68" s="1793">
        <f t="shared" si="3"/>
        <v>0</v>
      </c>
    </row>
    <row r="69" spans="1:7" x14ac:dyDescent="0.25">
      <c r="A69" s="1653"/>
      <c r="B69" s="1667"/>
      <c r="C69" s="1654"/>
      <c r="D69" s="1844"/>
      <c r="E69" s="1540">
        <f t="shared" si="2"/>
        <v>0</v>
      </c>
      <c r="F69" s="1945">
        <f t="shared" si="1"/>
        <v>0</v>
      </c>
      <c r="G69" s="1793">
        <f t="shared" si="3"/>
        <v>0</v>
      </c>
    </row>
    <row r="70" spans="1:7" x14ac:dyDescent="0.25">
      <c r="A70" s="1653"/>
      <c r="B70" s="1667"/>
      <c r="C70" s="1654"/>
      <c r="D70" s="1844"/>
      <c r="E70" s="1540">
        <f t="shared" si="2"/>
        <v>0</v>
      </c>
      <c r="F70" s="1945">
        <f t="shared" si="1"/>
        <v>0</v>
      </c>
      <c r="G70" s="1793">
        <f t="shared" si="3"/>
        <v>0</v>
      </c>
    </row>
    <row r="71" spans="1:7" x14ac:dyDescent="0.25">
      <c r="A71" s="1653"/>
      <c r="B71" s="1667"/>
      <c r="C71" s="1654"/>
      <c r="D71" s="1844"/>
      <c r="E71" s="1540">
        <f t="shared" si="2"/>
        <v>0</v>
      </c>
      <c r="F71" s="1945">
        <f t="shared" si="1"/>
        <v>0</v>
      </c>
      <c r="G71" s="1793">
        <f t="shared" si="3"/>
        <v>0</v>
      </c>
    </row>
    <row r="72" spans="1:7" x14ac:dyDescent="0.25">
      <c r="A72" s="1653"/>
      <c r="B72" s="1667"/>
      <c r="C72" s="1654"/>
      <c r="D72" s="1844"/>
      <c r="E72" s="1540">
        <f t="shared" si="2"/>
        <v>0</v>
      </c>
      <c r="F72" s="1945">
        <f t="shared" si="1"/>
        <v>0</v>
      </c>
      <c r="G72" s="1793">
        <f t="shared" si="3"/>
        <v>0</v>
      </c>
    </row>
    <row r="73" spans="1:7" x14ac:dyDescent="0.25">
      <c r="A73" s="1653"/>
      <c r="B73" s="1667"/>
      <c r="C73" s="1654"/>
      <c r="D73" s="1844"/>
      <c r="E73" s="1540">
        <f t="shared" si="2"/>
        <v>0</v>
      </c>
      <c r="F73" s="1945">
        <f t="shared" si="1"/>
        <v>0</v>
      </c>
      <c r="G73" s="1793">
        <f t="shared" si="3"/>
        <v>0</v>
      </c>
    </row>
    <row r="74" spans="1:7" x14ac:dyDescent="0.25">
      <c r="A74" s="1653"/>
      <c r="B74" s="1667"/>
      <c r="C74" s="1654"/>
      <c r="D74" s="1844"/>
      <c r="E74" s="1540">
        <f t="shared" ref="E74:E85" si="4">IF(D74&lt;=25000,D74,IF(D74&gt;25000,25000,0))</f>
        <v>0</v>
      </c>
      <c r="F74" s="1945">
        <f t="shared" si="1"/>
        <v>0</v>
      </c>
      <c r="G74" s="1793">
        <f t="shared" ref="G74:G85" si="5">IF(F74=0,0,D74-F74)</f>
        <v>0</v>
      </c>
    </row>
    <row r="75" spans="1:7" x14ac:dyDescent="0.25">
      <c r="A75" s="1653"/>
      <c r="B75" s="1667"/>
      <c r="C75" s="1654"/>
      <c r="D75" s="1844"/>
      <c r="E75" s="1540">
        <f t="shared" si="4"/>
        <v>0</v>
      </c>
      <c r="F75" s="1945">
        <f t="shared" si="1"/>
        <v>0</v>
      </c>
      <c r="G75" s="1793">
        <f t="shared" si="5"/>
        <v>0</v>
      </c>
    </row>
    <row r="76" spans="1:7" x14ac:dyDescent="0.25">
      <c r="A76" s="1653"/>
      <c r="B76" s="1667"/>
      <c r="C76" s="1654"/>
      <c r="D76" s="1844"/>
      <c r="E76" s="1540">
        <f t="shared" si="4"/>
        <v>0</v>
      </c>
      <c r="F76" s="1945">
        <f t="shared" si="1"/>
        <v>0</v>
      </c>
      <c r="G76" s="1793">
        <f t="shared" si="5"/>
        <v>0</v>
      </c>
    </row>
    <row r="77" spans="1:7" x14ac:dyDescent="0.25">
      <c r="A77" s="1653"/>
      <c r="B77" s="1667"/>
      <c r="C77" s="1654"/>
      <c r="D77" s="1844"/>
      <c r="E77" s="1540">
        <f t="shared" si="4"/>
        <v>0</v>
      </c>
      <c r="F77" s="1945">
        <f t="shared" si="1"/>
        <v>0</v>
      </c>
      <c r="G77" s="1793">
        <f t="shared" si="5"/>
        <v>0</v>
      </c>
    </row>
    <row r="78" spans="1:7" x14ac:dyDescent="0.25">
      <c r="A78" s="1653"/>
      <c r="B78" s="1667"/>
      <c r="C78" s="1654"/>
      <c r="D78" s="1844"/>
      <c r="E78" s="1540">
        <f t="shared" si="4"/>
        <v>0</v>
      </c>
      <c r="F78" s="1945">
        <f t="shared" si="1"/>
        <v>0</v>
      </c>
      <c r="G78" s="1793">
        <f t="shared" si="5"/>
        <v>0</v>
      </c>
    </row>
    <row r="79" spans="1:7" x14ac:dyDescent="0.25">
      <c r="A79" s="1653"/>
      <c r="B79" s="1667"/>
      <c r="C79" s="1654"/>
      <c r="D79" s="1844"/>
      <c r="E79" s="1540">
        <f t="shared" si="4"/>
        <v>0</v>
      </c>
      <c r="F79" s="1945">
        <f t="shared" si="1"/>
        <v>0</v>
      </c>
      <c r="G79" s="1793">
        <f t="shared" si="5"/>
        <v>0</v>
      </c>
    </row>
    <row r="80" spans="1:7" x14ac:dyDescent="0.25">
      <c r="A80" s="1653"/>
      <c r="B80" s="1667"/>
      <c r="C80" s="1654"/>
      <c r="D80" s="1844"/>
      <c r="E80" s="1540">
        <f t="shared" si="4"/>
        <v>0</v>
      </c>
      <c r="F80" s="1945">
        <f t="shared" si="1"/>
        <v>0</v>
      </c>
      <c r="G80" s="1793">
        <f t="shared" si="5"/>
        <v>0</v>
      </c>
    </row>
    <row r="81" spans="1:7" x14ac:dyDescent="0.25">
      <c r="A81" s="1653"/>
      <c r="B81" s="1667"/>
      <c r="C81" s="1654"/>
      <c r="D81" s="1844"/>
      <c r="E81" s="1540">
        <f t="shared" si="4"/>
        <v>0</v>
      </c>
      <c r="F81" s="1945">
        <f t="shared" si="1"/>
        <v>0</v>
      </c>
      <c r="G81" s="1793">
        <f t="shared" si="5"/>
        <v>0</v>
      </c>
    </row>
    <row r="82" spans="1:7" x14ac:dyDescent="0.25">
      <c r="A82" s="1653"/>
      <c r="B82" s="1667"/>
      <c r="C82" s="1654"/>
      <c r="D82" s="1844"/>
      <c r="E82" s="1540">
        <f t="shared" si="4"/>
        <v>0</v>
      </c>
      <c r="F82" s="194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45">
        <f t="shared" si="6"/>
        <v>0</v>
      </c>
      <c r="G83" s="1793">
        <f t="shared" si="5"/>
        <v>0</v>
      </c>
    </row>
    <row r="84" spans="1:7" x14ac:dyDescent="0.25">
      <c r="A84" s="1653"/>
      <c r="B84" s="1667"/>
      <c r="C84" s="1654"/>
      <c r="D84" s="1844"/>
      <c r="E84" s="1540">
        <f t="shared" si="4"/>
        <v>0</v>
      </c>
      <c r="F84" s="1945">
        <f t="shared" si="6"/>
        <v>0</v>
      </c>
      <c r="G84" s="1793">
        <f t="shared" si="5"/>
        <v>0</v>
      </c>
    </row>
    <row r="85" spans="1:7" x14ac:dyDescent="0.25">
      <c r="A85" s="1653"/>
      <c r="B85" s="1667"/>
      <c r="C85" s="1654"/>
      <c r="D85" s="1844"/>
      <c r="E85" s="1540">
        <f t="shared" si="4"/>
        <v>0</v>
      </c>
      <c r="F85" s="1945">
        <f t="shared" si="6"/>
        <v>0</v>
      </c>
      <c r="G85" s="1793">
        <f t="shared" si="5"/>
        <v>0</v>
      </c>
    </row>
    <row r="86" spans="1:7" x14ac:dyDescent="0.25">
      <c r="A86" s="1653"/>
      <c r="B86" s="1667"/>
      <c r="C86" s="1654"/>
      <c r="D86" s="1844"/>
      <c r="E86" s="1540">
        <f t="shared" si="2"/>
        <v>0</v>
      </c>
      <c r="F86" s="1945">
        <f t="shared" si="6"/>
        <v>0</v>
      </c>
      <c r="G86" s="1793">
        <f t="shared" si="3"/>
        <v>0</v>
      </c>
    </row>
    <row r="87" spans="1:7" x14ac:dyDescent="0.25">
      <c r="A87" s="1653"/>
      <c r="B87" s="1667"/>
      <c r="C87" s="1654"/>
      <c r="D87" s="1844"/>
      <c r="E87" s="1540">
        <f t="shared" si="2"/>
        <v>0</v>
      </c>
      <c r="F87" s="1945">
        <f t="shared" si="6"/>
        <v>0</v>
      </c>
      <c r="G87" s="1793">
        <f t="shared" si="3"/>
        <v>0</v>
      </c>
    </row>
    <row r="88" spans="1:7" x14ac:dyDescent="0.25">
      <c r="A88" s="1653"/>
      <c r="B88" s="1667"/>
      <c r="C88" s="1654"/>
      <c r="D88" s="1844"/>
      <c r="E88" s="1540">
        <f t="shared" si="2"/>
        <v>0</v>
      </c>
      <c r="F88" s="1945">
        <f t="shared" si="6"/>
        <v>0</v>
      </c>
      <c r="G88" s="1793">
        <f t="shared" si="3"/>
        <v>0</v>
      </c>
    </row>
    <row r="89" spans="1:7" x14ac:dyDescent="0.25">
      <c r="A89" s="1653"/>
      <c r="B89" s="1667"/>
      <c r="C89" s="1654"/>
      <c r="D89" s="1844"/>
      <c r="E89" s="1540">
        <f t="shared" si="2"/>
        <v>0</v>
      </c>
      <c r="F89" s="1945">
        <f t="shared" si="6"/>
        <v>0</v>
      </c>
      <c r="G89" s="1793">
        <f t="shared" si="3"/>
        <v>0</v>
      </c>
    </row>
    <row r="90" spans="1:7" x14ac:dyDescent="0.25">
      <c r="A90" s="1653"/>
      <c r="B90" s="1667"/>
      <c r="C90" s="1654"/>
      <c r="D90" s="1844"/>
      <c r="E90" s="1540">
        <f t="shared" si="2"/>
        <v>0</v>
      </c>
      <c r="F90" s="1945">
        <f t="shared" si="6"/>
        <v>0</v>
      </c>
      <c r="G90" s="1793">
        <f t="shared" si="3"/>
        <v>0</v>
      </c>
    </row>
    <row r="91" spans="1:7" x14ac:dyDescent="0.25">
      <c r="A91" s="1653"/>
      <c r="B91" s="1667"/>
      <c r="C91" s="1654"/>
      <c r="D91" s="1844"/>
      <c r="E91" s="1540">
        <f t="shared" si="2"/>
        <v>0</v>
      </c>
      <c r="F91" s="1945">
        <f t="shared" si="6"/>
        <v>0</v>
      </c>
      <c r="G91" s="1793">
        <f t="shared" si="3"/>
        <v>0</v>
      </c>
    </row>
    <row r="92" spans="1:7" x14ac:dyDescent="0.25">
      <c r="A92" s="1653"/>
      <c r="B92" s="1667"/>
      <c r="C92" s="1654"/>
      <c r="D92" s="1844"/>
      <c r="E92" s="1540">
        <f t="shared" si="2"/>
        <v>0</v>
      </c>
      <c r="F92" s="1945">
        <f t="shared" si="6"/>
        <v>0</v>
      </c>
      <c r="G92" s="1793">
        <f t="shared" si="3"/>
        <v>0</v>
      </c>
    </row>
    <row r="93" spans="1:7" x14ac:dyDescent="0.25">
      <c r="A93" s="1653"/>
      <c r="B93" s="1667"/>
      <c r="C93" s="1654"/>
      <c r="D93" s="1844"/>
      <c r="E93" s="1540">
        <f t="shared" si="2"/>
        <v>0</v>
      </c>
      <c r="F93" s="1945">
        <f t="shared" si="6"/>
        <v>0</v>
      </c>
      <c r="G93" s="1793">
        <f t="shared" si="3"/>
        <v>0</v>
      </c>
    </row>
    <row r="94" spans="1:7" x14ac:dyDescent="0.25">
      <c r="A94" s="1653"/>
      <c r="B94" s="1667"/>
      <c r="C94" s="1654"/>
      <c r="D94" s="1844"/>
      <c r="E94" s="1540">
        <f t="shared" ref="E94" si="7">IF(D94&lt;=25000,D94,IF(D94&gt;25000,25000,0))</f>
        <v>0</v>
      </c>
      <c r="F94" s="1945">
        <f t="shared" si="6"/>
        <v>0</v>
      </c>
      <c r="G94" s="1793">
        <f t="shared" ref="G94" si="8">IF(F94=0,0,D94-F94)</f>
        <v>0</v>
      </c>
    </row>
    <row r="95" spans="1:7" x14ac:dyDescent="0.25">
      <c r="A95" s="1653"/>
      <c r="B95" s="1667"/>
      <c r="C95" s="1654"/>
      <c r="D95" s="1844"/>
      <c r="E95" s="1540">
        <f t="shared" si="2"/>
        <v>0</v>
      </c>
      <c r="F95" s="1945">
        <f t="shared" si="6"/>
        <v>0</v>
      </c>
      <c r="G95" s="1793">
        <f t="shared" si="3"/>
        <v>0</v>
      </c>
    </row>
    <row r="96" spans="1:7" x14ac:dyDescent="0.25">
      <c r="A96" s="1653"/>
      <c r="B96" s="1667"/>
      <c r="C96" s="1654"/>
      <c r="D96" s="1844"/>
      <c r="E96" s="1540">
        <f t="shared" ref="E96:E99" si="9">IF(D96&lt;=25000,D96,IF(D96&gt;25000,25000,0))</f>
        <v>0</v>
      </c>
      <c r="F96" s="1945">
        <f t="shared" si="6"/>
        <v>0</v>
      </c>
      <c r="G96" s="1793">
        <f t="shared" ref="G96:G99" si="10">IF(F96=0,0,D96-F96)</f>
        <v>0</v>
      </c>
    </row>
    <row r="97" spans="1:7" x14ac:dyDescent="0.25">
      <c r="A97" s="1653"/>
      <c r="B97" s="1667"/>
      <c r="C97" s="1654"/>
      <c r="D97" s="1844"/>
      <c r="E97" s="1540">
        <f t="shared" si="9"/>
        <v>0</v>
      </c>
      <c r="F97" s="1945">
        <f t="shared" si="6"/>
        <v>0</v>
      </c>
      <c r="G97" s="1793">
        <f t="shared" si="10"/>
        <v>0</v>
      </c>
    </row>
    <row r="98" spans="1:7" x14ac:dyDescent="0.25">
      <c r="A98" s="1653"/>
      <c r="B98" s="1667"/>
      <c r="C98" s="1654"/>
      <c r="D98" s="1844"/>
      <c r="E98" s="1540">
        <f t="shared" si="9"/>
        <v>0</v>
      </c>
      <c r="F98" s="1945">
        <f t="shared" si="6"/>
        <v>0</v>
      </c>
      <c r="G98" s="1793">
        <f t="shared" si="10"/>
        <v>0</v>
      </c>
    </row>
    <row r="99" spans="1:7" x14ac:dyDescent="0.25">
      <c r="A99" s="1653"/>
      <c r="B99" s="1667"/>
      <c r="C99" s="1654"/>
      <c r="D99" s="1844"/>
      <c r="E99" s="1540">
        <f t="shared" si="9"/>
        <v>0</v>
      </c>
      <c r="F99" s="1945">
        <f t="shared" si="6"/>
        <v>0</v>
      </c>
      <c r="G99" s="1793">
        <f t="shared" si="10"/>
        <v>0</v>
      </c>
    </row>
    <row r="100" spans="1:7" x14ac:dyDescent="0.25">
      <c r="A100" s="1653"/>
      <c r="B100" s="1667"/>
      <c r="C100" s="1654"/>
      <c r="D100" s="1844"/>
      <c r="E100" s="1540">
        <f t="shared" ref="E100" si="11">IF(D100&lt;=25000,D100,IF(D100&gt;25000,25000,0))</f>
        <v>0</v>
      </c>
      <c r="F100" s="1945">
        <f t="shared" si="6"/>
        <v>0</v>
      </c>
      <c r="G100" s="1793">
        <f t="shared" ref="G100" si="12">IF(F100=0,0,D100-F100)</f>
        <v>0</v>
      </c>
    </row>
    <row r="101" spans="1:7" x14ac:dyDescent="0.25">
      <c r="A101" s="1653"/>
      <c r="B101" s="1667"/>
      <c r="C101" s="1654"/>
      <c r="D101" s="1844"/>
      <c r="E101" s="1540">
        <f t="shared" ref="E101:E113" si="13">IF(D101&lt;=25000,D101,IF(D101&gt;25000,25000,0))</f>
        <v>0</v>
      </c>
      <c r="F101" s="1945">
        <f t="shared" si="6"/>
        <v>0</v>
      </c>
      <c r="G101" s="1793">
        <f t="shared" ref="G101:G113" si="14">IF(F101=0,0,D101-F101)</f>
        <v>0</v>
      </c>
    </row>
    <row r="102" spans="1:7" x14ac:dyDescent="0.25">
      <c r="A102" s="1653"/>
      <c r="B102" s="1667"/>
      <c r="C102" s="1654"/>
      <c r="D102" s="1844"/>
      <c r="E102" s="1540">
        <f t="shared" si="13"/>
        <v>0</v>
      </c>
      <c r="F102" s="1945">
        <f t="shared" si="6"/>
        <v>0</v>
      </c>
      <c r="G102" s="1793">
        <f t="shared" si="14"/>
        <v>0</v>
      </c>
    </row>
    <row r="103" spans="1:7" x14ac:dyDescent="0.25">
      <c r="A103" s="1653"/>
      <c r="B103" s="1667"/>
      <c r="C103" s="1654"/>
      <c r="D103" s="1844"/>
      <c r="E103" s="1540">
        <f t="shared" si="13"/>
        <v>0</v>
      </c>
      <c r="F103" s="1945">
        <f t="shared" si="6"/>
        <v>0</v>
      </c>
      <c r="G103" s="1793">
        <f t="shared" si="14"/>
        <v>0</v>
      </c>
    </row>
    <row r="104" spans="1:7" x14ac:dyDescent="0.25">
      <c r="A104" s="1653"/>
      <c r="B104" s="1667"/>
      <c r="C104" s="1654"/>
      <c r="D104" s="1844"/>
      <c r="E104" s="1540">
        <f t="shared" si="13"/>
        <v>0</v>
      </c>
      <c r="F104" s="1945">
        <f t="shared" si="6"/>
        <v>0</v>
      </c>
      <c r="G104" s="1793">
        <f t="shared" si="14"/>
        <v>0</v>
      </c>
    </row>
    <row r="105" spans="1:7" x14ac:dyDescent="0.25">
      <c r="A105" s="1653"/>
      <c r="B105" s="1667"/>
      <c r="C105" s="1654"/>
      <c r="D105" s="1844"/>
      <c r="E105" s="1540">
        <f t="shared" si="13"/>
        <v>0</v>
      </c>
      <c r="F105" s="1945">
        <f t="shared" si="6"/>
        <v>0</v>
      </c>
      <c r="G105" s="1793">
        <f t="shared" si="14"/>
        <v>0</v>
      </c>
    </row>
    <row r="106" spans="1:7" x14ac:dyDescent="0.25">
      <c r="A106" s="1653"/>
      <c r="B106" s="1667"/>
      <c r="C106" s="1654"/>
      <c r="D106" s="1844"/>
      <c r="E106" s="1540">
        <f t="shared" si="13"/>
        <v>0</v>
      </c>
      <c r="F106" s="1945">
        <f t="shared" si="6"/>
        <v>0</v>
      </c>
      <c r="G106" s="1793">
        <f t="shared" si="14"/>
        <v>0</v>
      </c>
    </row>
    <row r="107" spans="1:7" x14ac:dyDescent="0.25">
      <c r="A107" s="1653"/>
      <c r="B107" s="1667"/>
      <c r="C107" s="1654"/>
      <c r="D107" s="1844"/>
      <c r="E107" s="1540">
        <f t="shared" si="13"/>
        <v>0</v>
      </c>
      <c r="F107" s="1945">
        <f t="shared" si="6"/>
        <v>0</v>
      </c>
      <c r="G107" s="1793">
        <f t="shared" si="14"/>
        <v>0</v>
      </c>
    </row>
    <row r="108" spans="1:7" x14ac:dyDescent="0.25">
      <c r="A108" s="1653"/>
      <c r="B108" s="1667"/>
      <c r="C108" s="1654"/>
      <c r="D108" s="1844"/>
      <c r="E108" s="1540">
        <f t="shared" si="13"/>
        <v>0</v>
      </c>
      <c r="F108" s="1945">
        <f t="shared" si="6"/>
        <v>0</v>
      </c>
      <c r="G108" s="1793">
        <f t="shared" si="14"/>
        <v>0</v>
      </c>
    </row>
    <row r="109" spans="1:7" x14ac:dyDescent="0.25">
      <c r="A109" s="1653"/>
      <c r="B109" s="1667"/>
      <c r="C109" s="1654"/>
      <c r="D109" s="1844"/>
      <c r="E109" s="1540">
        <f t="shared" si="13"/>
        <v>0</v>
      </c>
      <c r="F109" s="1945">
        <f t="shared" si="6"/>
        <v>0</v>
      </c>
      <c r="G109" s="1793">
        <f t="shared" si="14"/>
        <v>0</v>
      </c>
    </row>
    <row r="110" spans="1:7" x14ac:dyDescent="0.25">
      <c r="A110" s="1653"/>
      <c r="B110" s="1667"/>
      <c r="C110" s="1654"/>
      <c r="D110" s="1844"/>
      <c r="E110" s="1540">
        <f t="shared" si="13"/>
        <v>0</v>
      </c>
      <c r="F110" s="1945">
        <f t="shared" si="6"/>
        <v>0</v>
      </c>
      <c r="G110" s="1793">
        <f t="shared" si="14"/>
        <v>0</v>
      </c>
    </row>
    <row r="111" spans="1:7" x14ac:dyDescent="0.25">
      <c r="A111" s="1653"/>
      <c r="B111" s="1667"/>
      <c r="C111" s="1654"/>
      <c r="D111" s="1844"/>
      <c r="E111" s="1540">
        <f t="shared" si="13"/>
        <v>0</v>
      </c>
      <c r="F111" s="1945">
        <f t="shared" si="6"/>
        <v>0</v>
      </c>
      <c r="G111" s="1793">
        <f t="shared" si="14"/>
        <v>0</v>
      </c>
    </row>
    <row r="112" spans="1:7" x14ac:dyDescent="0.25">
      <c r="A112" s="1653"/>
      <c r="B112" s="1667"/>
      <c r="C112" s="1654"/>
      <c r="D112" s="1844"/>
      <c r="E112" s="1540">
        <f t="shared" si="13"/>
        <v>0</v>
      </c>
      <c r="F112" s="1945">
        <f t="shared" si="6"/>
        <v>0</v>
      </c>
      <c r="G112" s="1793">
        <f t="shared" si="14"/>
        <v>0</v>
      </c>
    </row>
    <row r="113" spans="1:7" x14ac:dyDescent="0.25">
      <c r="A113" s="1653"/>
      <c r="B113" s="1667"/>
      <c r="C113" s="1654"/>
      <c r="D113" s="1844"/>
      <c r="E113" s="1540">
        <f t="shared" si="13"/>
        <v>0</v>
      </c>
      <c r="F113" s="1945">
        <f t="shared" si="6"/>
        <v>0</v>
      </c>
      <c r="G113" s="1793">
        <f t="shared" si="14"/>
        <v>0</v>
      </c>
    </row>
    <row r="114" spans="1:7" x14ac:dyDescent="0.25">
      <c r="A114" s="1653"/>
      <c r="B114" s="1667"/>
      <c r="C114" s="1654"/>
      <c r="D114" s="1844"/>
      <c r="E114" s="1540">
        <f t="shared" ref="E114:E126" si="15">IF(D114&lt;=25000,D114,IF(D114&gt;25000,25000,0))</f>
        <v>0</v>
      </c>
      <c r="F114" s="1945">
        <f t="shared" si="6"/>
        <v>0</v>
      </c>
      <c r="G114" s="1793">
        <f t="shared" ref="G114:G126" si="16">IF(F114=0,0,D114-F114)</f>
        <v>0</v>
      </c>
    </row>
    <row r="115" spans="1:7" x14ac:dyDescent="0.25">
      <c r="A115" s="1653"/>
      <c r="B115" s="1667"/>
      <c r="C115" s="1654"/>
      <c r="D115" s="1844"/>
      <c r="E115" s="1540">
        <f t="shared" si="15"/>
        <v>0</v>
      </c>
      <c r="F115" s="1945">
        <f t="shared" si="6"/>
        <v>0</v>
      </c>
      <c r="G115" s="1793">
        <f t="shared" si="16"/>
        <v>0</v>
      </c>
    </row>
    <row r="116" spans="1:7" x14ac:dyDescent="0.25">
      <c r="A116" s="1653"/>
      <c r="B116" s="1667"/>
      <c r="C116" s="1654"/>
      <c r="D116" s="1844"/>
      <c r="E116" s="1540">
        <f t="shared" si="15"/>
        <v>0</v>
      </c>
      <c r="F116" s="1945">
        <f t="shared" si="6"/>
        <v>0</v>
      </c>
      <c r="G116" s="1793">
        <f t="shared" si="16"/>
        <v>0</v>
      </c>
    </row>
    <row r="117" spans="1:7" x14ac:dyDescent="0.25">
      <c r="A117" s="1653"/>
      <c r="B117" s="1667"/>
      <c r="C117" s="1654"/>
      <c r="D117" s="1844"/>
      <c r="E117" s="1540">
        <f t="shared" si="15"/>
        <v>0</v>
      </c>
      <c r="F117" s="1945">
        <f t="shared" si="6"/>
        <v>0</v>
      </c>
      <c r="G117" s="1793">
        <f t="shared" si="16"/>
        <v>0</v>
      </c>
    </row>
    <row r="118" spans="1:7" x14ac:dyDescent="0.25">
      <c r="A118" s="1653"/>
      <c r="B118" s="1667"/>
      <c r="C118" s="1654"/>
      <c r="D118" s="1844"/>
      <c r="E118" s="1540">
        <f t="shared" si="15"/>
        <v>0</v>
      </c>
      <c r="F118" s="1945">
        <f t="shared" si="6"/>
        <v>0</v>
      </c>
      <c r="G118" s="1793">
        <f t="shared" si="16"/>
        <v>0</v>
      </c>
    </row>
    <row r="119" spans="1:7" x14ac:dyDescent="0.25">
      <c r="A119" s="1653"/>
      <c r="B119" s="1667"/>
      <c r="C119" s="1654"/>
      <c r="D119" s="1844"/>
      <c r="E119" s="1540">
        <f t="shared" si="15"/>
        <v>0</v>
      </c>
      <c r="F119" s="1945">
        <f t="shared" si="6"/>
        <v>0</v>
      </c>
      <c r="G119" s="1793">
        <f t="shared" si="16"/>
        <v>0</v>
      </c>
    </row>
    <row r="120" spans="1:7" x14ac:dyDescent="0.25">
      <c r="A120" s="1653"/>
      <c r="B120" s="1667"/>
      <c r="C120" s="1654"/>
      <c r="D120" s="1844"/>
      <c r="E120" s="1540">
        <f t="shared" si="15"/>
        <v>0</v>
      </c>
      <c r="F120" s="1945">
        <f t="shared" si="6"/>
        <v>0</v>
      </c>
      <c r="G120" s="1793">
        <f t="shared" si="16"/>
        <v>0</v>
      </c>
    </row>
    <row r="121" spans="1:7" x14ac:dyDescent="0.25">
      <c r="A121" s="1653"/>
      <c r="B121" s="1667"/>
      <c r="C121" s="1654"/>
      <c r="D121" s="1844"/>
      <c r="E121" s="1540">
        <f t="shared" si="15"/>
        <v>0</v>
      </c>
      <c r="F121" s="1945">
        <f t="shared" si="6"/>
        <v>0</v>
      </c>
      <c r="G121" s="1793">
        <f t="shared" si="16"/>
        <v>0</v>
      </c>
    </row>
    <row r="122" spans="1:7" x14ac:dyDescent="0.25">
      <c r="A122" s="1653"/>
      <c r="B122" s="1667"/>
      <c r="C122" s="1654"/>
      <c r="D122" s="1844"/>
      <c r="E122" s="1540">
        <f t="shared" si="15"/>
        <v>0</v>
      </c>
      <c r="F122" s="1945">
        <f t="shared" si="6"/>
        <v>0</v>
      </c>
      <c r="G122" s="1793">
        <f t="shared" si="16"/>
        <v>0</v>
      </c>
    </row>
    <row r="123" spans="1:7" x14ac:dyDescent="0.25">
      <c r="A123" s="1653"/>
      <c r="B123" s="1667"/>
      <c r="C123" s="1654"/>
      <c r="D123" s="1844"/>
      <c r="E123" s="1540">
        <f t="shared" si="15"/>
        <v>0</v>
      </c>
      <c r="F123" s="1945">
        <f t="shared" si="6"/>
        <v>0</v>
      </c>
      <c r="G123" s="1793">
        <f t="shared" si="16"/>
        <v>0</v>
      </c>
    </row>
    <row r="124" spans="1:7" x14ac:dyDescent="0.25">
      <c r="A124" s="1653"/>
      <c r="B124" s="1667"/>
      <c r="C124" s="1654"/>
      <c r="D124" s="1844"/>
      <c r="E124" s="1540">
        <f t="shared" si="15"/>
        <v>0</v>
      </c>
      <c r="F124" s="1945">
        <f t="shared" si="6"/>
        <v>0</v>
      </c>
      <c r="G124" s="1793">
        <f t="shared" si="16"/>
        <v>0</v>
      </c>
    </row>
    <row r="125" spans="1:7" x14ac:dyDescent="0.25">
      <c r="A125" s="1653"/>
      <c r="B125" s="1667"/>
      <c r="C125" s="1654"/>
      <c r="D125" s="1844"/>
      <c r="E125" s="1540">
        <f t="shared" si="15"/>
        <v>0</v>
      </c>
      <c r="F125" s="1945">
        <f t="shared" si="6"/>
        <v>0</v>
      </c>
      <c r="G125" s="1793">
        <f t="shared" si="16"/>
        <v>0</v>
      </c>
    </row>
    <row r="126" spans="1:7" x14ac:dyDescent="0.25">
      <c r="A126" s="1653"/>
      <c r="B126" s="1667"/>
      <c r="C126" s="1654"/>
      <c r="D126" s="1844"/>
      <c r="E126" s="1540">
        <f t="shared" si="15"/>
        <v>0</v>
      </c>
      <c r="F126" s="1945">
        <f t="shared" si="6"/>
        <v>0</v>
      </c>
      <c r="G126" s="1793">
        <f t="shared" si="16"/>
        <v>0</v>
      </c>
    </row>
    <row r="127" spans="1:7" x14ac:dyDescent="0.25">
      <c r="A127" s="1653"/>
      <c r="B127" s="1667"/>
      <c r="C127" s="1654"/>
      <c r="D127" s="1844"/>
      <c r="E127" s="1540">
        <f t="shared" ref="E127:E135" si="17">IF(D127&lt;=25000,D127,IF(D127&gt;25000,25000,0))</f>
        <v>0</v>
      </c>
      <c r="F127" s="1945">
        <f t="shared" si="6"/>
        <v>0</v>
      </c>
      <c r="G127" s="1793">
        <f t="shared" ref="G127:G135" si="18">IF(F127=0,0,D127-F127)</f>
        <v>0</v>
      </c>
    </row>
    <row r="128" spans="1:7" x14ac:dyDescent="0.25">
      <c r="A128" s="1653"/>
      <c r="B128" s="1667"/>
      <c r="C128" s="1654"/>
      <c r="D128" s="1844"/>
      <c r="E128" s="1540">
        <f t="shared" si="17"/>
        <v>0</v>
      </c>
      <c r="F128" s="1945">
        <f t="shared" si="6"/>
        <v>0</v>
      </c>
      <c r="G128" s="1793">
        <f t="shared" si="18"/>
        <v>0</v>
      </c>
    </row>
    <row r="129" spans="1:7" x14ac:dyDescent="0.25">
      <c r="A129" s="1653"/>
      <c r="B129" s="1667"/>
      <c r="C129" s="1654"/>
      <c r="D129" s="1844"/>
      <c r="E129" s="1540">
        <f t="shared" si="17"/>
        <v>0</v>
      </c>
      <c r="F129" s="1945">
        <f t="shared" si="6"/>
        <v>0</v>
      </c>
      <c r="G129" s="1793">
        <f t="shared" si="18"/>
        <v>0</v>
      </c>
    </row>
    <row r="130" spans="1:7" x14ac:dyDescent="0.25">
      <c r="A130" s="1653"/>
      <c r="B130" s="1667"/>
      <c r="C130" s="1654"/>
      <c r="D130" s="1844"/>
      <c r="E130" s="1540">
        <f t="shared" si="17"/>
        <v>0</v>
      </c>
      <c r="F130" s="1945">
        <f t="shared" si="6"/>
        <v>0</v>
      </c>
      <c r="G130" s="1793">
        <f t="shared" si="18"/>
        <v>0</v>
      </c>
    </row>
    <row r="131" spans="1:7" x14ac:dyDescent="0.25">
      <c r="A131" s="1653"/>
      <c r="B131" s="1667"/>
      <c r="C131" s="1654"/>
      <c r="D131" s="1844"/>
      <c r="E131" s="1540">
        <f t="shared" si="17"/>
        <v>0</v>
      </c>
      <c r="F131" s="1945">
        <f t="shared" si="6"/>
        <v>0</v>
      </c>
      <c r="G131" s="1793">
        <f t="shared" si="18"/>
        <v>0</v>
      </c>
    </row>
    <row r="132" spans="1:7" x14ac:dyDescent="0.25">
      <c r="A132" s="1653"/>
      <c r="B132" s="1837"/>
      <c r="C132" s="1654"/>
      <c r="D132" s="1844"/>
      <c r="E132" s="1540">
        <f t="shared" si="17"/>
        <v>0</v>
      </c>
      <c r="F132" s="1945">
        <f t="shared" si="6"/>
        <v>0</v>
      </c>
      <c r="G132" s="1793">
        <f t="shared" si="18"/>
        <v>0</v>
      </c>
    </row>
    <row r="133" spans="1:7" x14ac:dyDescent="0.25">
      <c r="A133" s="1653"/>
      <c r="B133" s="1837"/>
      <c r="C133" s="1654"/>
      <c r="D133" s="1844"/>
      <c r="E133" s="1540">
        <f t="shared" si="17"/>
        <v>0</v>
      </c>
      <c r="F133" s="1945">
        <f t="shared" si="6"/>
        <v>0</v>
      </c>
      <c r="G133" s="1793">
        <f t="shared" si="18"/>
        <v>0</v>
      </c>
    </row>
    <row r="134" spans="1:7" x14ac:dyDescent="0.25">
      <c r="A134" s="1653"/>
      <c r="B134" s="1667"/>
      <c r="C134" s="1654"/>
      <c r="D134" s="1844"/>
      <c r="E134" s="1540">
        <f t="shared" si="17"/>
        <v>0</v>
      </c>
      <c r="F134" s="1945">
        <f t="shared" si="6"/>
        <v>0</v>
      </c>
      <c r="G134" s="1793">
        <f t="shared" si="18"/>
        <v>0</v>
      </c>
    </row>
    <row r="135" spans="1:7" x14ac:dyDescent="0.25">
      <c r="A135" s="1653"/>
      <c r="B135" s="1667"/>
      <c r="C135" s="1654"/>
      <c r="D135" s="1844"/>
      <c r="E135" s="1540">
        <f t="shared" si="17"/>
        <v>0</v>
      </c>
      <c r="F135" s="1945">
        <f t="shared" si="6"/>
        <v>0</v>
      </c>
      <c r="G135" s="1793">
        <f t="shared" si="18"/>
        <v>0</v>
      </c>
    </row>
    <row r="136" spans="1:7" x14ac:dyDescent="0.25">
      <c r="A136" s="1653"/>
      <c r="B136" s="1667"/>
      <c r="C136" s="1654"/>
      <c r="D136" s="1844"/>
      <c r="E136" s="1540">
        <f t="shared" ref="E136:E140" si="19">IF(D136&lt;=25000,D136,IF(D136&gt;25000,25000,0))</f>
        <v>0</v>
      </c>
      <c r="F136" s="1945">
        <f t="shared" si="6"/>
        <v>0</v>
      </c>
      <c r="G136" s="1793">
        <f t="shared" ref="G136:G140" si="20">IF(F136=0,0,D136-F136)</f>
        <v>0</v>
      </c>
    </row>
    <row r="137" spans="1:7" x14ac:dyDescent="0.25">
      <c r="A137" s="1653"/>
      <c r="B137" s="1667"/>
      <c r="C137" s="1654"/>
      <c r="D137" s="1844"/>
      <c r="E137" s="1540">
        <f t="shared" si="19"/>
        <v>0</v>
      </c>
      <c r="F137" s="1945">
        <f t="shared" si="6"/>
        <v>0</v>
      </c>
      <c r="G137" s="1793">
        <f t="shared" si="20"/>
        <v>0</v>
      </c>
    </row>
    <row r="138" spans="1:7" x14ac:dyDescent="0.25">
      <c r="A138" s="1653"/>
      <c r="B138" s="1667"/>
      <c r="C138" s="1654"/>
      <c r="D138" s="1844"/>
      <c r="E138" s="1540">
        <f t="shared" si="19"/>
        <v>0</v>
      </c>
      <c r="F138" s="1945">
        <f t="shared" si="6"/>
        <v>0</v>
      </c>
      <c r="G138" s="1793">
        <f t="shared" si="20"/>
        <v>0</v>
      </c>
    </row>
    <row r="139" spans="1:7" x14ac:dyDescent="0.25">
      <c r="A139" s="1653"/>
      <c r="B139" s="1667"/>
      <c r="C139" s="1654"/>
      <c r="D139" s="1844"/>
      <c r="E139" s="1540">
        <f t="shared" si="19"/>
        <v>0</v>
      </c>
      <c r="F139" s="1945">
        <f t="shared" si="6"/>
        <v>0</v>
      </c>
      <c r="G139" s="1793">
        <f t="shared" si="20"/>
        <v>0</v>
      </c>
    </row>
    <row r="140" spans="1:7" x14ac:dyDescent="0.25">
      <c r="A140" s="1653"/>
      <c r="B140" s="1667"/>
      <c r="C140" s="1654"/>
      <c r="D140" s="1844"/>
      <c r="E140" s="1540">
        <f t="shared" si="19"/>
        <v>0</v>
      </c>
      <c r="F140" s="1945">
        <f t="shared" si="6"/>
        <v>0</v>
      </c>
      <c r="G140" s="1793">
        <f t="shared" si="20"/>
        <v>0</v>
      </c>
    </row>
    <row r="141" spans="1:7" x14ac:dyDescent="0.25">
      <c r="A141" s="1653"/>
      <c r="B141" s="1666"/>
      <c r="C141" s="1654"/>
      <c r="D141" s="1844"/>
      <c r="E141" s="1540">
        <f t="shared" si="2"/>
        <v>0</v>
      </c>
      <c r="F141" s="1945">
        <f t="shared" si="6"/>
        <v>0</v>
      </c>
      <c r="G141" s="1793">
        <f t="shared" si="3"/>
        <v>0</v>
      </c>
    </row>
    <row r="142" spans="1:7" x14ac:dyDescent="0.25">
      <c r="A142" s="1796" t="s">
        <v>156</v>
      </c>
      <c r="B142" s="1797"/>
      <c r="C142" s="1798"/>
      <c r="D142" s="1794">
        <f>SUM(D18:D141)</f>
        <v>35545</v>
      </c>
      <c r="E142" s="1541">
        <f t="shared" si="0"/>
        <v>25000</v>
      </c>
      <c r="F142" s="1932">
        <f>SUM(F18:F141)</f>
        <v>25000</v>
      </c>
      <c r="G142" s="1795">
        <f>SUM(G18:G141)</f>
        <v>10545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B22" sqref="B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3" t="s">
        <v>1679</v>
      </c>
      <c r="B5" s="2314"/>
      <c r="C5" s="2314"/>
      <c r="D5" s="2314"/>
      <c r="E5" s="2314"/>
      <c r="F5" s="2314"/>
      <c r="G5" s="231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f>'Expenditures 15-22'!E60</f>
        <v>8650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1929</v>
      </c>
      <c r="B10" s="971"/>
      <c r="C10" s="976"/>
      <c r="D10" s="972"/>
      <c r="E10" s="973">
        <v>0</v>
      </c>
      <c r="F10" s="974"/>
      <c r="G10" s="975"/>
      <c r="H10" s="162"/>
      <c r="I10" s="162"/>
    </row>
    <row r="11" spans="1:9" s="668" customFormat="1" ht="22.5" customHeight="1" x14ac:dyDescent="0.2">
      <c r="A11" s="2318" t="s">
        <v>1972</v>
      </c>
      <c r="B11" s="2319"/>
      <c r="C11" s="2319"/>
      <c r="D11" s="2320"/>
      <c r="E11" s="977">
        <v>748</v>
      </c>
      <c r="F11" s="974"/>
      <c r="G11" s="978"/>
      <c r="H11" s="162"/>
      <c r="I11" s="162"/>
    </row>
    <row r="12" spans="1:9" s="668" customFormat="1" ht="12" customHeight="1" x14ac:dyDescent="0.2">
      <c r="A12" s="970" t="s">
        <v>131</v>
      </c>
      <c r="B12" s="971"/>
      <c r="C12" s="971"/>
      <c r="D12" s="972"/>
      <c r="E12" s="973">
        <f>'Expenditures 15-22'!F64</f>
        <v>153</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642720</v>
      </c>
      <c r="F19" s="1799"/>
      <c r="G19" s="1801">
        <f>'Expenditures 15-22'!K33-SUM('Expenditures 15-22'!G33,'Expenditures 15-22'!I33)+'Expenditures 15-22'!D229</f>
        <v>642720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292690</v>
      </c>
      <c r="F21" s="1802"/>
      <c r="G21" s="1805">
        <f>'Expenditures 15-22'!K42-SUM('Expenditures 15-22'!G42,'Expenditures 15-22'!I42)+'Expenditures 15-22'!K120-SUM('Expenditures 15-22'!G120,'Expenditures 15-22'!I120)+'Expenditures 15-22'!K180-SUM('Expenditures 15-22'!G180,'Expenditures 15-22'!I180)+'Expenditures 15-22'!D238</f>
        <v>292690</v>
      </c>
      <c r="H21" s="987"/>
      <c r="I21" s="162"/>
    </row>
    <row r="22" spans="1:9" s="668" customFormat="1" ht="12" customHeight="1" x14ac:dyDescent="0.2">
      <c r="A22" s="994" t="s">
        <v>564</v>
      </c>
      <c r="B22" s="995"/>
      <c r="C22" s="993">
        <v>2200</v>
      </c>
      <c r="D22" s="1802"/>
      <c r="E22" s="1804">
        <f>'Expenditures 15-22'!K47-SUM('Expenditures 15-22'!G47,'Expenditures 15-22'!I47)+'Expenditures 15-22'!D243</f>
        <v>8270</v>
      </c>
      <c r="F22" s="1802"/>
      <c r="G22" s="1805">
        <f>'Expenditures 15-22'!K47-SUM('Expenditures 15-22'!G47,'Expenditures 15-22'!I47)+'Expenditures 15-22'!D243</f>
        <v>8270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227440</v>
      </c>
      <c r="F23" s="1802"/>
      <c r="G23" s="1804">
        <f>'Expenditures 15-22'!K53-SUM('Expenditures 15-22'!G53,'Expenditures 15-22'!I53)+'Expenditures 15-22'!D257+'Expenditures 15-22'!K330-SUM('Expenditures 15-22'!G330,'Expenditures 15-22'!I330)</f>
        <v>227440</v>
      </c>
      <c r="H23" s="987"/>
      <c r="I23" s="162"/>
    </row>
    <row r="24" spans="1:9" s="668" customFormat="1" ht="12" customHeight="1" x14ac:dyDescent="0.2">
      <c r="A24" s="994" t="s">
        <v>566</v>
      </c>
      <c r="B24" s="995"/>
      <c r="C24" s="993">
        <v>2400</v>
      </c>
      <c r="D24" s="1802"/>
      <c r="E24" s="1804">
        <f>'Expenditures 15-22'!K57-SUM('Expenditures 15-22'!G57,'Expenditures 15-22'!I57)+'Expenditures 15-22'!D261</f>
        <v>34200</v>
      </c>
      <c r="F24" s="1802"/>
      <c r="G24" s="1805">
        <f>'Expenditures 15-22'!K57-SUM('Expenditures 15-22'!G57,'Expenditures 15-22'!I57)+'Expenditures 15-22'!D261</f>
        <v>34200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8650</v>
      </c>
      <c r="F27" s="1804">
        <f>'Expenditures 15-22'!K60-SUM('Expenditures 15-22'!G60,'Expenditures 15-22'!I60)+'Expenditures 15-22'!D264-E8</f>
        <v>0</v>
      </c>
      <c r="G27" s="1805">
        <f>E8</f>
        <v>8650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153</v>
      </c>
      <c r="F31" s="1804">
        <f>'Expenditures 15-22'!K64-SUM('Expenditures 15-22'!G64,'Expenditures 15-22'!I64)+'Expenditures 15-22'!D269-E12</f>
        <v>0</v>
      </c>
      <c r="G31" s="1804">
        <f>E12</f>
        <v>153</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29'!G142</f>
        <v>-10545</v>
      </c>
      <c r="F40" s="1802"/>
      <c r="G40" s="1806">
        <f>-'Contracts Paid in CY 29'!G142</f>
        <v>-10545</v>
      </c>
    </row>
    <row r="41" spans="1:7" ht="12" customHeight="1" x14ac:dyDescent="0.2">
      <c r="A41" s="998" t="s">
        <v>156</v>
      </c>
      <c r="B41" s="999"/>
      <c r="C41" s="1000"/>
      <c r="D41" s="1806">
        <f>SUM(D19:D39)</f>
        <v>0</v>
      </c>
      <c r="E41" s="1806">
        <f>SUM(E19:E40)</f>
        <v>1203578</v>
      </c>
      <c r="F41" s="1806">
        <f>SUM(F19:F39)</f>
        <v>0</v>
      </c>
      <c r="G41" s="1806">
        <f>SUM(G19:G40)</f>
        <v>1203578</v>
      </c>
    </row>
    <row r="42" spans="1:7" x14ac:dyDescent="0.2">
      <c r="A42" s="987"/>
      <c r="B42" s="162"/>
      <c r="C42" s="1001"/>
      <c r="D42" s="2316" t="s">
        <v>522</v>
      </c>
      <c r="E42" s="2317"/>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1203578</v>
      </c>
      <c r="F44" s="1807" t="s">
        <v>474</v>
      </c>
      <c r="G44" s="1808">
        <f>G41</f>
        <v>1203578</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0" activePane="bottomLeft" state="frozen"/>
      <selection activeCell="B22" sqref="B22"/>
      <selection pane="bottomLeft" activeCell="B22" sqref="B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35" t="s">
        <v>1379</v>
      </c>
      <c r="B1" s="2335"/>
      <c r="C1" s="2335"/>
      <c r="D1" s="2335"/>
      <c r="E1" s="2335"/>
      <c r="F1" s="2335"/>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36" t="s">
        <v>1546</v>
      </c>
      <c r="B5" s="2337"/>
      <c r="C5" s="2338"/>
      <c r="D5" s="2338"/>
      <c r="E5" s="2338"/>
      <c r="F5" s="2338"/>
    </row>
    <row r="6" spans="1:10" ht="12" customHeight="1" x14ac:dyDescent="0.25">
      <c r="A6" s="1850"/>
      <c r="B6" s="1851"/>
      <c r="C6" s="2339" t="str">
        <f>COVER!A17</f>
        <v>Kankakee Area Spec Educ Coop</v>
      </c>
      <c r="D6" s="2339"/>
      <c r="E6" s="2339"/>
      <c r="F6" s="1852"/>
    </row>
    <row r="7" spans="1:10" ht="11.25" customHeight="1" thickBot="1" x14ac:dyDescent="0.3">
      <c r="A7" s="1850"/>
      <c r="B7" s="1851"/>
      <c r="C7" s="2340">
        <f>COVER!A13</f>
        <v>32046850060</v>
      </c>
      <c r="D7" s="2340"/>
      <c r="E7" s="2340"/>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2080</v>
      </c>
      <c r="D14" s="1865" t="s">
        <v>2080</v>
      </c>
      <c r="E14" s="1868"/>
      <c r="F14" s="1867" t="s">
        <v>2082</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2080</v>
      </c>
      <c r="D16" s="1865" t="s">
        <v>2080</v>
      </c>
      <c r="E16" s="1868"/>
      <c r="F16" s="1867" t="s">
        <v>2083</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2080</v>
      </c>
      <c r="D19" s="1865" t="s">
        <v>2080</v>
      </c>
      <c r="E19" s="1868"/>
      <c r="F19" s="1867" t="s">
        <v>2082</v>
      </c>
      <c r="H19" s="1878">
        <f t="shared" si="0"/>
        <v>5</v>
      </c>
      <c r="I19" s="1878">
        <f t="shared" si="1"/>
        <v>5</v>
      </c>
      <c r="J19" s="1878">
        <f t="shared" si="2"/>
        <v>0</v>
      </c>
    </row>
    <row r="20" spans="1:12" ht="12" customHeight="1" x14ac:dyDescent="0.2">
      <c r="A20" s="1863" t="s">
        <v>1528</v>
      </c>
      <c r="B20" s="1864"/>
      <c r="C20" s="1865" t="s">
        <v>2080</v>
      </c>
      <c r="D20" s="1865" t="s">
        <v>2080</v>
      </c>
      <c r="E20" s="1868"/>
      <c r="F20" s="1867" t="s">
        <v>2082</v>
      </c>
      <c r="H20" s="1878">
        <f t="shared" si="0"/>
        <v>5</v>
      </c>
      <c r="I20" s="1878">
        <f t="shared" si="1"/>
        <v>5</v>
      </c>
      <c r="J20" s="1878">
        <f t="shared" si="2"/>
        <v>0</v>
      </c>
    </row>
    <row r="21" spans="1:12" ht="12" customHeight="1" x14ac:dyDescent="0.2">
      <c r="A21" s="1863" t="s">
        <v>1529</v>
      </c>
      <c r="B21" s="1864"/>
      <c r="C21" s="1865" t="s">
        <v>2080</v>
      </c>
      <c r="D21" s="1865" t="s">
        <v>2080</v>
      </c>
      <c r="E21" s="1868"/>
      <c r="F21" s="1867" t="s">
        <v>2082</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2080</v>
      </c>
      <c r="D25" s="1865" t="s">
        <v>2080</v>
      </c>
      <c r="E25" s="1868"/>
      <c r="F25" s="1867" t="s">
        <v>2084</v>
      </c>
      <c r="H25" s="1878">
        <f t="shared" si="0"/>
        <v>5</v>
      </c>
      <c r="I25" s="1878">
        <f t="shared" si="1"/>
        <v>5</v>
      </c>
      <c r="J25" s="1878">
        <f t="shared" si="2"/>
        <v>0</v>
      </c>
    </row>
    <row r="26" spans="1:12" ht="12" customHeight="1" x14ac:dyDescent="0.2">
      <c r="A26" s="1863" t="s">
        <v>1534</v>
      </c>
      <c r="B26" s="1864"/>
      <c r="C26" s="1865" t="s">
        <v>2080</v>
      </c>
      <c r="D26" s="1865" t="s">
        <v>2080</v>
      </c>
      <c r="E26" s="1868"/>
      <c r="F26" s="1867" t="s">
        <v>2085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2080</v>
      </c>
      <c r="D28" s="1865" t="s">
        <v>2080</v>
      </c>
      <c r="E28" s="1868"/>
      <c r="F28" s="1938" t="s">
        <v>2086</v>
      </c>
      <c r="H28" s="1878">
        <f t="shared" si="0"/>
        <v>5</v>
      </c>
      <c r="I28" s="1878">
        <f t="shared" si="1"/>
        <v>5</v>
      </c>
      <c r="J28" s="1878">
        <f t="shared" si="2"/>
        <v>0</v>
      </c>
    </row>
    <row r="29" spans="1:12" ht="12" customHeight="1" x14ac:dyDescent="0.2">
      <c r="A29" s="1863" t="s">
        <v>1537</v>
      </c>
      <c r="B29" s="1864"/>
      <c r="C29" s="1865" t="s">
        <v>2080</v>
      </c>
      <c r="D29" s="1865" t="s">
        <v>2080</v>
      </c>
      <c r="E29" s="1868"/>
      <c r="F29" s="1867" t="s">
        <v>2084</v>
      </c>
      <c r="H29" s="1878">
        <f t="shared" si="0"/>
        <v>5</v>
      </c>
      <c r="I29" s="1878">
        <f t="shared" si="1"/>
        <v>5</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2080</v>
      </c>
      <c r="D33" s="1865" t="s">
        <v>2080</v>
      </c>
      <c r="E33" s="1868"/>
      <c r="F33" s="1867" t="s">
        <v>2128</v>
      </c>
      <c r="H33" s="1878">
        <f t="shared" si="0"/>
        <v>5</v>
      </c>
      <c r="I33" s="1878">
        <f t="shared" si="1"/>
        <v>5</v>
      </c>
      <c r="J33" s="1878">
        <f t="shared" si="2"/>
        <v>0</v>
      </c>
    </row>
    <row r="34" spans="1:11" ht="12" customHeight="1" x14ac:dyDescent="0.25">
      <c r="A34" s="1870"/>
      <c r="B34" s="1870"/>
      <c r="C34" s="1870"/>
      <c r="D34" s="1870"/>
      <c r="E34" s="1870"/>
      <c r="F34" s="1870"/>
      <c r="H34" s="1878">
        <f>SUM(H11:H32)</f>
        <v>45</v>
      </c>
      <c r="I34" s="1878">
        <f>SUM(I11:I32)</f>
        <v>45</v>
      </c>
      <c r="J34" s="1878">
        <f>SUM(J11:J32)</f>
        <v>0</v>
      </c>
      <c r="K34" s="1878">
        <f>SUM(H34:J34)</f>
        <v>90</v>
      </c>
    </row>
    <row r="35" spans="1:11" ht="12" customHeight="1" x14ac:dyDescent="0.2">
      <c r="A35" s="1871" t="s">
        <v>1392</v>
      </c>
      <c r="B35" s="1872"/>
      <c r="C35" s="2341"/>
      <c r="D35" s="2341"/>
      <c r="E35" s="2341"/>
      <c r="F35" s="2342"/>
    </row>
    <row r="36" spans="1:11" ht="12" customHeight="1" x14ac:dyDescent="0.2">
      <c r="A36" s="2324"/>
      <c r="B36" s="2325"/>
      <c r="C36" s="2325"/>
      <c r="D36" s="2325"/>
      <c r="E36" s="2325"/>
      <c r="F36" s="2326"/>
    </row>
    <row r="37" spans="1:11" ht="12" customHeight="1" x14ac:dyDescent="0.2">
      <c r="A37" s="2324"/>
      <c r="B37" s="2325"/>
      <c r="C37" s="2325"/>
      <c r="D37" s="2325"/>
      <c r="E37" s="2325"/>
      <c r="F37" s="2326"/>
    </row>
    <row r="38" spans="1:11" ht="12" customHeight="1" x14ac:dyDescent="0.2">
      <c r="A38" s="2327"/>
      <c r="B38" s="2328"/>
      <c r="C38" s="2328"/>
      <c r="D38" s="2328"/>
      <c r="E38" s="2328"/>
      <c r="F38" s="2329"/>
    </row>
    <row r="39" spans="1:11" ht="4.5" hidden="1" customHeight="1" x14ac:dyDescent="0.2">
      <c r="A39" s="1873"/>
      <c r="B39" s="1873"/>
      <c r="C39" s="1873"/>
      <c r="D39" s="1873"/>
      <c r="E39" s="1873"/>
      <c r="F39" s="1873"/>
    </row>
    <row r="40" spans="1:11" s="1870" customFormat="1" ht="12" customHeight="1" x14ac:dyDescent="0.25">
      <c r="A40" s="1874" t="s">
        <v>1391</v>
      </c>
      <c r="B40" s="1875"/>
      <c r="C40" s="2330"/>
      <c r="D40" s="2330"/>
      <c r="E40" s="2330"/>
      <c r="F40" s="2331"/>
      <c r="H40" s="1879"/>
      <c r="I40" s="1879"/>
      <c r="J40" s="1879"/>
      <c r="K40" s="1879"/>
    </row>
    <row r="41" spans="1:11" s="1870" customFormat="1" ht="12" customHeight="1" x14ac:dyDescent="0.25">
      <c r="A41" s="2332" t="s">
        <v>2087</v>
      </c>
      <c r="B41" s="2333"/>
      <c r="C41" s="2333"/>
      <c r="D41" s="2333"/>
      <c r="E41" s="2333"/>
      <c r="F41" s="2334"/>
      <c r="H41" s="1879"/>
      <c r="I41" s="1879"/>
      <c r="J41" s="1879"/>
      <c r="K41" s="1879"/>
    </row>
    <row r="42" spans="1:11" s="1870" customFormat="1" ht="12" customHeight="1" x14ac:dyDescent="0.25">
      <c r="A42" s="2332" t="s">
        <v>2127</v>
      </c>
      <c r="B42" s="2333"/>
      <c r="C42" s="2333"/>
      <c r="D42" s="2333"/>
      <c r="E42" s="2333"/>
      <c r="F42" s="2334"/>
      <c r="H42" s="1879"/>
      <c r="I42" s="1879"/>
      <c r="J42" s="1879"/>
      <c r="K42" s="1879"/>
    </row>
    <row r="43" spans="1:11" s="1870" customFormat="1" ht="15" x14ac:dyDescent="0.25">
      <c r="A43" s="2321" t="s">
        <v>2129</v>
      </c>
      <c r="B43" s="2322"/>
      <c r="C43" s="2322"/>
      <c r="D43" s="2322"/>
      <c r="E43" s="2322"/>
      <c r="F43" s="2323"/>
      <c r="H43" s="1879"/>
      <c r="I43" s="1879"/>
      <c r="J43" s="1879"/>
      <c r="K43" s="1879"/>
    </row>
    <row r="44" spans="1:11" s="1870" customFormat="1" ht="12" hidden="1" customHeight="1" x14ac:dyDescent="0.25">
      <c r="A44" s="2321"/>
      <c r="B44" s="2322"/>
      <c r="C44" s="2322"/>
      <c r="D44" s="2322"/>
      <c r="E44" s="2322"/>
      <c r="F44" s="232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22" sqref="B2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48" t="str">
        <f>COVER!A17</f>
        <v>Kankakee Area Spec Educ Coop</v>
      </c>
      <c r="J6" s="2349"/>
      <c r="Q6" s="1664"/>
    </row>
    <row r="7" spans="1:17" x14ac:dyDescent="0.2">
      <c r="A7" s="2350" t="s">
        <v>869</v>
      </c>
      <c r="B7" s="2351"/>
      <c r="C7" s="2351"/>
      <c r="D7" s="2351"/>
      <c r="E7" s="2352"/>
      <c r="F7" s="1017"/>
      <c r="G7" s="1009"/>
      <c r="H7" s="1016" t="s">
        <v>372</v>
      </c>
      <c r="I7" s="2353">
        <f>COVER!A13</f>
        <v>32046850060</v>
      </c>
      <c r="J7" s="235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4" t="s">
        <v>481</v>
      </c>
      <c r="B11" s="2355"/>
      <c r="C11" s="235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189560</v>
      </c>
      <c r="F12" s="1039"/>
      <c r="G12" s="1811">
        <f t="shared" ref="G12:G18" si="0">SUM(E12:F12)</f>
        <v>189560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34200</v>
      </c>
      <c r="F14" s="1039"/>
      <c r="G14" s="1811">
        <f t="shared" si="0"/>
        <v>34200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153</v>
      </c>
      <c r="F16" s="1039"/>
      <c r="G16" s="1811">
        <f t="shared" si="0"/>
        <v>153</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57" t="s">
        <v>7</v>
      </c>
      <c r="C18" s="2358"/>
      <c r="D18" s="235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223913</v>
      </c>
      <c r="F19" s="1813">
        <f t="shared" si="2"/>
        <v>0</v>
      </c>
      <c r="G19" s="1813">
        <f t="shared" si="2"/>
        <v>223913</v>
      </c>
      <c r="H19" s="1813">
        <f t="shared" si="2"/>
        <v>0</v>
      </c>
      <c r="I19" s="1813">
        <f t="shared" si="2"/>
        <v>0</v>
      </c>
      <c r="J19" s="1813">
        <f t="shared" si="2"/>
        <v>0</v>
      </c>
    </row>
    <row r="20" spans="1:10" ht="13.5" thickTop="1" x14ac:dyDescent="0.2">
      <c r="A20" s="1035">
        <v>9</v>
      </c>
      <c r="B20" s="2360" t="s">
        <v>1976</v>
      </c>
      <c r="C20" s="2360"/>
      <c r="D20" s="236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66"/>
      <c r="D26" s="2366"/>
      <c r="E26" s="1050"/>
      <c r="F26" s="2365"/>
      <c r="G26" s="2365"/>
    </row>
    <row r="27" spans="1:10" x14ac:dyDescent="0.2">
      <c r="B27" s="1047"/>
      <c r="C27" s="1051" t="s">
        <v>1033</v>
      </c>
      <c r="D27" s="1052"/>
      <c r="E27" s="1053"/>
      <c r="F27" s="2362" t="s">
        <v>1509</v>
      </c>
      <c r="G27" s="2362"/>
    </row>
    <row r="28" spans="1:10" ht="28.5" customHeight="1" x14ac:dyDescent="0.2">
      <c r="B28" s="1047"/>
      <c r="C28" s="2364"/>
      <c r="D28" s="2364"/>
      <c r="E28" s="1054"/>
      <c r="F28" s="2364"/>
      <c r="G28" s="2364"/>
    </row>
    <row r="29" spans="1:10" x14ac:dyDescent="0.2">
      <c r="B29" s="1047"/>
      <c r="C29" s="1055" t="s">
        <v>1561</v>
      </c>
      <c r="E29" s="1056"/>
      <c r="F29" s="2363" t="s">
        <v>1510</v>
      </c>
      <c r="G29" s="236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5" t="s">
        <v>132</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2"/>
    </row>
    <row r="36" spans="1:10" ht="13.5" customHeight="1" x14ac:dyDescent="0.2">
      <c r="B36" s="1061"/>
      <c r="C36" s="2347" t="s">
        <v>1978</v>
      </c>
      <c r="D36" s="2346"/>
      <c r="E36" s="2346"/>
      <c r="F36" s="2346"/>
      <c r="G36" s="2346"/>
      <c r="H36" s="2346"/>
      <c r="I36" s="2346"/>
      <c r="J36" s="1063"/>
    </row>
    <row r="37" spans="1:10" ht="22.5" customHeight="1" x14ac:dyDescent="0.2">
      <c r="C37" s="2346"/>
      <c r="D37" s="2346"/>
      <c r="E37" s="2346"/>
      <c r="F37" s="2346"/>
      <c r="G37" s="2346"/>
      <c r="H37" s="2346"/>
      <c r="I37" s="2346"/>
      <c r="J37" s="1063"/>
    </row>
    <row r="38" spans="1:10" ht="7.5" customHeight="1" x14ac:dyDescent="0.2">
      <c r="C38" s="1062"/>
      <c r="D38" s="1064"/>
      <c r="E38" s="1065"/>
      <c r="F38" s="1066"/>
      <c r="G38" s="1065"/>
    </row>
    <row r="39" spans="1:10" ht="13.5" customHeight="1" x14ac:dyDescent="0.2">
      <c r="B39" s="1061"/>
      <c r="C39" s="2343" t="s">
        <v>882</v>
      </c>
      <c r="D39" s="2344"/>
      <c r="E39" s="2344"/>
      <c r="F39" s="2344"/>
      <c r="G39" s="2344"/>
      <c r="H39" s="2344"/>
      <c r="I39" s="234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zoomScale="110" zoomScaleNormal="110" workbookViewId="0">
      <selection activeCell="B22" sqref="B2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2111</v>
      </c>
    </row>
    <row r="6" spans="1:2" x14ac:dyDescent="0.2">
      <c r="A6" s="1068">
        <v>2</v>
      </c>
      <c r="B6" s="329" t="s">
        <v>2112</v>
      </c>
    </row>
    <row r="7" spans="1:2" x14ac:dyDescent="0.2">
      <c r="A7" s="1068">
        <v>3</v>
      </c>
      <c r="B7" s="329" t="s">
        <v>2113</v>
      </c>
    </row>
    <row r="8" spans="1:2" x14ac:dyDescent="0.2">
      <c r="A8" s="1068">
        <v>4</v>
      </c>
      <c r="B8" s="329" t="s">
        <v>2114</v>
      </c>
    </row>
    <row r="9" spans="1:2" x14ac:dyDescent="0.2">
      <c r="A9" s="1068"/>
      <c r="B9" s="329" t="s">
        <v>2115</v>
      </c>
    </row>
    <row r="10" spans="1:2" x14ac:dyDescent="0.2">
      <c r="A10" s="1068"/>
      <c r="B10" s="329" t="s">
        <v>2116</v>
      </c>
    </row>
    <row r="11" spans="1:2" x14ac:dyDescent="0.2">
      <c r="A11" s="1068"/>
      <c r="B11" s="329" t="s">
        <v>2117</v>
      </c>
    </row>
    <row r="12" spans="1:2" x14ac:dyDescent="0.2">
      <c r="A12" s="1068">
        <v>5</v>
      </c>
      <c r="B12" s="329" t="s">
        <v>2118</v>
      </c>
    </row>
    <row r="13" spans="1:2" x14ac:dyDescent="0.2">
      <c r="A13" s="1068">
        <v>6</v>
      </c>
      <c r="B13" s="329" t="s">
        <v>2119</v>
      </c>
    </row>
    <row r="14" spans="1:2" x14ac:dyDescent="0.2">
      <c r="A14" s="1068">
        <v>7</v>
      </c>
      <c r="B14" s="329" t="s">
        <v>2120</v>
      </c>
    </row>
    <row r="15" spans="1:2" x14ac:dyDescent="0.2">
      <c r="A15" s="1068">
        <v>8</v>
      </c>
      <c r="B15" s="329" t="s">
        <v>2121</v>
      </c>
    </row>
    <row r="16" spans="1:2" x14ac:dyDescent="0.2">
      <c r="A16" s="1068"/>
      <c r="B16" s="329" t="s">
        <v>2122</v>
      </c>
    </row>
    <row r="17" spans="1:2" x14ac:dyDescent="0.2">
      <c r="A17" s="1068">
        <v>9</v>
      </c>
      <c r="B17" s="329" t="s">
        <v>2123</v>
      </c>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c r="B68" s="258" t="str">
        <f>COVER!A17</f>
        <v>Kankakee Area Spec Educ Coop</v>
      </c>
    </row>
    <row r="69" spans="1:2" x14ac:dyDescent="0.2">
      <c r="B69" s="1070">
        <f>COVER!A13</f>
        <v>32046850060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97" zoomScale="110" zoomScaleNormal="110" workbookViewId="0">
      <selection activeCell="B22" sqref="B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4" t="s">
        <v>1065</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691</v>
      </c>
      <c r="B40" s="2081"/>
      <c r="C40" s="2081"/>
      <c r="D40" s="2081"/>
      <c r="E40" s="2081"/>
    </row>
    <row r="41" spans="1:5" x14ac:dyDescent="0.2">
      <c r="A41" s="2082" t="s">
        <v>1608</v>
      </c>
      <c r="B41" s="2082"/>
      <c r="C41" s="2082"/>
      <c r="D41" s="2082"/>
      <c r="E41" s="2082"/>
    </row>
    <row r="42" spans="1:5" ht="12.75" customHeight="1" x14ac:dyDescent="0.2">
      <c r="A42" s="2083" t="s">
        <v>1022</v>
      </c>
      <c r="B42" s="2083"/>
      <c r="C42" s="2083"/>
      <c r="D42" s="2083"/>
      <c r="E42" s="208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22" sqref="B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I13" sqref="I13"/>
    </sheetView>
  </sheetViews>
  <sheetFormatPr defaultRowHeight="12.75" x14ac:dyDescent="0.2"/>
  <cols>
    <col min="1" max="1" width="1.85546875" style="329" customWidth="1"/>
    <col min="2" max="2" width="52.4257812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67" t="s">
        <v>1685</v>
      </c>
      <c r="B18" s="23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152400</xdr:colOff>
                <xdr:row>6</xdr:row>
                <xdr:rowOff>123825</xdr:rowOff>
              </from>
              <to>
                <xdr:col>1</xdr:col>
                <xdr:colOff>1028700</xdr:colOff>
                <xdr:row>9</xdr:row>
                <xdr:rowOff>152400</xdr:rowOff>
              </to>
            </anchor>
          </objectPr>
        </oleObject>
      </mc:Choice>
      <mc:Fallback>
        <oleObject progId="Packager Shell Objec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266700</xdr:colOff>
                <xdr:row>1</xdr:row>
                <xdr:rowOff>47625</xdr:rowOff>
              </from>
              <to>
                <xdr:col>1</xdr:col>
                <xdr:colOff>1419225</xdr:colOff>
                <xdr:row>6</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6" r:id="rId8">
          <objectPr defaultSize="0" autoPict="0" r:id="rId9">
            <anchor moveWithCells="1">
              <from>
                <xdr:col>1</xdr:col>
                <xdr:colOff>1590675</xdr:colOff>
                <xdr:row>1</xdr:row>
                <xdr:rowOff>38100</xdr:rowOff>
              </from>
              <to>
                <xdr:col>1</xdr:col>
                <xdr:colOff>2505075</xdr:colOff>
                <xdr:row>5</xdr:row>
                <xdr:rowOff>161925</xdr:rowOff>
              </to>
            </anchor>
          </objectPr>
        </oleObject>
      </mc:Choice>
      <mc:Fallback>
        <oleObject progId="Acrobat Document" dvAspect="DVASPECT_ICON" shapeId="35846" r:id="rId8"/>
      </mc:Fallback>
    </mc:AlternateContent>
    <mc:AlternateContent xmlns:mc="http://schemas.openxmlformats.org/markup-compatibility/2006">
      <mc:Choice Requires="x14">
        <oleObject progId="Acrobat Document" dvAspect="DVASPECT_ICON" shapeId="35849" r:id="rId10">
          <objectPr defaultSize="0" autoPict="0" r:id="rId11">
            <anchor moveWithCells="1">
              <from>
                <xdr:col>1</xdr:col>
                <xdr:colOff>2638425</xdr:colOff>
                <xdr:row>1</xdr:row>
                <xdr:rowOff>28575</xdr:rowOff>
              </from>
              <to>
                <xdr:col>2</xdr:col>
                <xdr:colOff>57150</xdr:colOff>
                <xdr:row>5</xdr:row>
                <xdr:rowOff>152400</xdr:rowOff>
              </to>
            </anchor>
          </objectPr>
        </oleObject>
      </mc:Choice>
      <mc:Fallback>
        <oleObject progId="Acrobat Document" dvAspect="DVASPECT_ICON" shapeId="35849" r:id="rId10"/>
      </mc:Fallback>
    </mc:AlternateContent>
    <mc:AlternateContent xmlns:mc="http://schemas.openxmlformats.org/markup-compatibility/2006">
      <mc:Choice Requires="x14">
        <oleObject progId="Acrobat Document" dvAspect="DVASPECT_ICON" shapeId="35850" r:id="rId12">
          <objectPr defaultSize="0" autoPict="0" r:id="rId13">
            <anchor moveWithCells="1">
              <from>
                <xdr:col>2</xdr:col>
                <xdr:colOff>200025</xdr:colOff>
                <xdr:row>1</xdr:row>
                <xdr:rowOff>28575</xdr:rowOff>
              </from>
              <to>
                <xdr:col>3</xdr:col>
                <xdr:colOff>504825</xdr:colOff>
                <xdr:row>5</xdr:row>
                <xdr:rowOff>152400</xdr:rowOff>
              </to>
            </anchor>
          </objectPr>
        </oleObject>
      </mc:Choice>
      <mc:Fallback>
        <oleObject progId="Acrobat Document" dvAspect="DVASPECT_ICON" shapeId="35850"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22" sqref="B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1690</v>
      </c>
      <c r="B1" s="2369"/>
      <c r="C1" s="2369"/>
      <c r="D1" s="2369"/>
      <c r="E1" s="2369"/>
      <c r="F1" s="2370"/>
    </row>
    <row r="2" spans="1:8" ht="45" customHeight="1" x14ac:dyDescent="0.2">
      <c r="A2" s="2378" t="s">
        <v>1982</v>
      </c>
      <c r="B2" s="2379"/>
      <c r="C2" s="2379"/>
      <c r="D2" s="2379"/>
      <c r="E2" s="2379"/>
      <c r="F2" s="2380"/>
      <c r="G2" s="1074"/>
      <c r="H2" s="1074"/>
    </row>
    <row r="3" spans="1:8" ht="57" customHeight="1" x14ac:dyDescent="0.2">
      <c r="A3" s="2381" t="s">
        <v>1686</v>
      </c>
      <c r="B3" s="2382"/>
      <c r="C3" s="2382"/>
      <c r="D3" s="2382"/>
      <c r="E3" s="2382"/>
      <c r="F3" s="2383"/>
      <c r="G3" s="1074"/>
      <c r="H3" s="1074"/>
    </row>
    <row r="4" spans="1:8" ht="14.25" customHeight="1" x14ac:dyDescent="0.2">
      <c r="A4" s="2387" t="s">
        <v>1983</v>
      </c>
      <c r="B4" s="2388"/>
      <c r="C4" s="2388"/>
      <c r="D4" s="2388"/>
      <c r="E4" s="2388"/>
      <c r="F4" s="2389"/>
      <c r="G4" s="1074"/>
      <c r="H4" s="1074"/>
    </row>
    <row r="5" spans="1:8" ht="14.25" customHeight="1" x14ac:dyDescent="0.2">
      <c r="A5" s="2390" t="s">
        <v>1979</v>
      </c>
      <c r="B5" s="2391"/>
      <c r="C5" s="2391"/>
      <c r="D5" s="2391"/>
      <c r="E5" s="2391"/>
      <c r="F5" s="2392"/>
      <c r="G5" s="1074"/>
      <c r="H5" s="1074"/>
    </row>
    <row r="6" spans="1:8" s="1075" customFormat="1" ht="41.25" customHeight="1" x14ac:dyDescent="0.2">
      <c r="A6" s="2384" t="s">
        <v>1691</v>
      </c>
      <c r="B6" s="2385"/>
      <c r="C6" s="2385"/>
      <c r="D6" s="2385"/>
      <c r="E6" s="2385"/>
      <c r="F6" s="238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2138268</v>
      </c>
      <c r="C8" s="1815">
        <f>'Acct Summary 7-8'!D8</f>
        <v>0</v>
      </c>
      <c r="D8" s="1815">
        <f>'Acct Summary 7-8'!F8</f>
        <v>0</v>
      </c>
      <c r="E8" s="1815">
        <f>'Acct Summary 7-8'!I8</f>
        <v>0</v>
      </c>
      <c r="F8" s="1815">
        <f>SUM(B8:E8)</f>
        <v>2138268</v>
      </c>
    </row>
    <row r="9" spans="1:8" s="1079" customFormat="1" ht="14.25" customHeight="1" thickBot="1" x14ac:dyDescent="0.25">
      <c r="A9" s="1078" t="s">
        <v>1369</v>
      </c>
      <c r="B9" s="1816">
        <f>'Acct Summary 7-8'!C17</f>
        <v>2335796</v>
      </c>
      <c r="C9" s="1816">
        <f>'Acct Summary 7-8'!D17</f>
        <v>0</v>
      </c>
      <c r="D9" s="1816">
        <f>'Acct Summary 7-8'!F17</f>
        <v>0</v>
      </c>
      <c r="E9" s="1815"/>
      <c r="F9" s="1815">
        <f>SUM(B9:E9)</f>
        <v>2335796</v>
      </c>
    </row>
    <row r="10" spans="1:8" s="1079" customFormat="1" ht="14.25" thickTop="1" thickBot="1" x14ac:dyDescent="0.25">
      <c r="A10" s="1080" t="s">
        <v>1370</v>
      </c>
      <c r="B10" s="1817">
        <f>(B8-B9)</f>
        <v>-197528</v>
      </c>
      <c r="C10" s="1817">
        <f>(C8-C9)</f>
        <v>0</v>
      </c>
      <c r="D10" s="1817">
        <f>(D8-D9)</f>
        <v>0</v>
      </c>
      <c r="E10" s="1816">
        <f>(E8-E9)</f>
        <v>0</v>
      </c>
      <c r="F10" s="1818">
        <f>SUM(F8-F9)</f>
        <v>-197528</v>
      </c>
    </row>
    <row r="11" spans="1:8" s="1079" customFormat="1" ht="14.25" thickTop="1" thickBot="1" x14ac:dyDescent="0.25">
      <c r="A11" s="1081" t="s">
        <v>1980</v>
      </c>
      <c r="B11" s="1819">
        <f>'Acct Summary 7-8'!C81</f>
        <v>893583</v>
      </c>
      <c r="C11" s="1819">
        <f>'Acct Summary 7-8'!D81</f>
        <v>0</v>
      </c>
      <c r="D11" s="1819">
        <f>'Acct Summary 7-8'!F81</f>
        <v>20336</v>
      </c>
      <c r="E11" s="1819">
        <f>'Acct Summary 7-8'!I81</f>
        <v>0</v>
      </c>
      <c r="F11" s="1820">
        <f>SUM(B11:E11)</f>
        <v>913919</v>
      </c>
    </row>
    <row r="12" spans="1:8" ht="16.5" customHeight="1" thickTop="1" x14ac:dyDescent="0.2">
      <c r="A12" s="1082"/>
      <c r="B12" s="1083"/>
      <c r="C12" s="2372" t="str">
        <f>IF(AND(F10&lt;0,F11&gt;=0,ABS(F10*3)&gt;ABS(F11)),A16,IF(AND(F10&lt;0,F11&gt;0,ABS(F10*3)&lt;=ABS(F11)),A17,IF(AND(F10&lt;0,F11&lt;0),A16,IF(F11=0,A19,A18))))</f>
        <v>Unbalanced -  however, a deficit reduction plan is not required at this time.</v>
      </c>
      <c r="D12" s="2373"/>
      <c r="E12" s="2373"/>
      <c r="F12" s="2374"/>
    </row>
    <row r="13" spans="1:8" ht="19.5" customHeight="1" x14ac:dyDescent="0.2">
      <c r="A13" s="1084"/>
      <c r="B13" s="1085"/>
      <c r="C13" s="2372"/>
      <c r="D13" s="2373"/>
      <c r="E13" s="2373"/>
      <c r="F13" s="2374"/>
      <c r="H13" s="1074"/>
    </row>
    <row r="14" spans="1:8" ht="19.5" customHeight="1" x14ac:dyDescent="0.2">
      <c r="A14" s="1084"/>
      <c r="B14" s="1085"/>
      <c r="C14" s="2372"/>
      <c r="D14" s="2373"/>
      <c r="E14" s="2373"/>
      <c r="F14" s="2374"/>
      <c r="H14" s="1074"/>
    </row>
    <row r="15" spans="1:8" ht="17.25" customHeight="1" x14ac:dyDescent="0.2">
      <c r="A15" s="1084"/>
      <c r="B15" s="1085"/>
      <c r="C15" s="2375"/>
      <c r="D15" s="2376"/>
      <c r="E15" s="2376"/>
      <c r="F15" s="2377"/>
      <c r="H15" s="1074"/>
    </row>
    <row r="16" spans="1:8" s="310" customFormat="1" ht="51.75" hidden="1" customHeight="1" x14ac:dyDescent="0.2">
      <c r="A16" s="2371" t="s">
        <v>1687</v>
      </c>
      <c r="B16" s="2371"/>
      <c r="C16" s="2371"/>
      <c r="D16" s="2371"/>
      <c r="E16" s="237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B22" sqref="B2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3" t="s">
        <v>665</v>
      </c>
      <c r="B3" s="2394"/>
      <c r="C3" s="2394"/>
      <c r="D3" s="2395"/>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04" t="s">
        <v>1504</v>
      </c>
      <c r="D7" s="2405"/>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96" t="s">
        <v>1008</v>
      </c>
      <c r="B15" s="2397"/>
      <c r="C15" s="2397"/>
      <c r="D15" s="2398"/>
    </row>
    <row r="16" spans="1:4" s="668" customFormat="1" ht="24" customHeight="1" x14ac:dyDescent="0.2">
      <c r="A16" s="2399" t="s">
        <v>663</v>
      </c>
      <c r="B16" s="2400"/>
      <c r="C16" s="2400"/>
      <c r="D16" s="240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08" t="s">
        <v>314</v>
      </c>
      <c r="D21" s="2409"/>
    </row>
    <row r="22" spans="1:10" ht="12.75" x14ac:dyDescent="0.2">
      <c r="A22" s="1139"/>
      <c r="B22" s="1140">
        <v>2</v>
      </c>
      <c r="C22" s="2406" t="s">
        <v>1524</v>
      </c>
      <c r="D22" s="240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10" t="s">
        <v>536</v>
      </c>
      <c r="D43" s="241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02" t="s">
        <v>784</v>
      </c>
      <c r="D56" s="240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402" t="s">
        <v>1696</v>
      </c>
      <c r="D70" s="240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32046850060</v>
      </c>
    </row>
    <row r="3" spans="1:2" x14ac:dyDescent="0.2">
      <c r="A3" t="s">
        <v>956</v>
      </c>
      <c r="B3" s="138" t="str">
        <f>COVER!A15</f>
        <v>Kankakee/Iroquois</v>
      </c>
    </row>
    <row r="4" spans="1:2" x14ac:dyDescent="0.2">
      <c r="A4" t="s">
        <v>1007</v>
      </c>
      <c r="B4" s="138" t="str">
        <f>COVER!A17</f>
        <v>Kankakee Area Spec Educ Coop</v>
      </c>
    </row>
    <row r="5" spans="1:2" x14ac:dyDescent="0.2">
      <c r="A5" t="s">
        <v>704</v>
      </c>
      <c r="B5" s="138" t="str">
        <f>COVER!A38</f>
        <v>Debra Quain</v>
      </c>
    </row>
    <row r="6" spans="1:2" x14ac:dyDescent="0.2">
      <c r="A6" t="s">
        <v>709</v>
      </c>
      <c r="B6" s="138">
        <f>COVER!P35</f>
        <v>0</v>
      </c>
    </row>
    <row r="7" spans="1:2" x14ac:dyDescent="0.2">
      <c r="A7" t="s">
        <v>705</v>
      </c>
      <c r="B7" s="138">
        <f>COVER!I38</f>
        <v>0</v>
      </c>
    </row>
    <row r="8" spans="1:2" x14ac:dyDescent="0.2">
      <c r="A8" t="s">
        <v>706</v>
      </c>
      <c r="B8" s="138" t="str">
        <f>COVER!T38</f>
        <v>Dr. Gregg Murphy</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066-005281</v>
      </c>
    </row>
    <row r="16" spans="1:2" x14ac:dyDescent="0.2">
      <c r="A16" t="s">
        <v>422</v>
      </c>
      <c r="B16" s="138" t="str">
        <f>COVER!T13</f>
        <v>Smith, Koelling, Dykstra &amp; Ohm, P.C.</v>
      </c>
    </row>
    <row r="17" spans="1:2" x14ac:dyDescent="0.2">
      <c r="A17" t="s">
        <v>884</v>
      </c>
      <c r="B17" s="138" t="str">
        <f>COVER!T15</f>
        <v>Carmen Huizenga</v>
      </c>
    </row>
    <row r="18" spans="1:2" x14ac:dyDescent="0.2">
      <c r="A18" t="s">
        <v>1150</v>
      </c>
      <c r="B18" s="138" t="str">
        <f>COVER!T17</f>
        <v>1605 North Convent</v>
      </c>
    </row>
    <row r="19" spans="1:2" x14ac:dyDescent="0.2">
      <c r="A19" t="s">
        <v>886</v>
      </c>
      <c r="B19" s="138" t="str">
        <f>COVER!T25</f>
        <v>carmenh@skdocpa.com</v>
      </c>
    </row>
    <row r="20" spans="1:2" x14ac:dyDescent="0.2">
      <c r="A20" t="s">
        <v>887</v>
      </c>
      <c r="B20" s="138" t="str">
        <f>COVER!T19</f>
        <v>Bourbonnais</v>
      </c>
    </row>
    <row r="21" spans="1:2" x14ac:dyDescent="0.2">
      <c r="A21" t="s">
        <v>479</v>
      </c>
      <c r="B21" s="138" t="str">
        <f>COVER!X19</f>
        <v>IL</v>
      </c>
    </row>
    <row r="22" spans="1:2" x14ac:dyDescent="0.2">
      <c r="A22" t="s">
        <v>888</v>
      </c>
      <c r="B22" s="138">
        <f>COVER!Z19</f>
        <v>60914</v>
      </c>
    </row>
    <row r="23" spans="1:2" x14ac:dyDescent="0.2">
      <c r="A23" t="s">
        <v>1152</v>
      </c>
      <c r="B23" s="138" t="str">
        <f>COVER!T21</f>
        <v>815-937-1997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893302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-281</v>
      </c>
      <c r="C91" s="2" t="s">
        <v>573</v>
      </c>
      <c r="D91" s="2" t="str">
        <f t="shared" si="0"/>
        <v>Error?</v>
      </c>
    </row>
    <row r="92" spans="1:4" x14ac:dyDescent="0.2">
      <c r="A92" s="5">
        <v>31</v>
      </c>
      <c r="B92" s="138">
        <f>'Assets-Liab 5-6'!C39</f>
        <v>893583</v>
      </c>
      <c r="D92" s="2" t="str">
        <f t="shared" si="0"/>
        <v>Error?</v>
      </c>
    </row>
    <row r="93" spans="1:4" x14ac:dyDescent="0.2">
      <c r="A93" s="5">
        <v>32</v>
      </c>
      <c r="B93" s="138">
        <f>'Assets-Liab 5-6'!C41</f>
        <v>893302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20336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20336</v>
      </c>
      <c r="D170" s="2" t="str">
        <f t="shared" si="1"/>
        <v>Error?</v>
      </c>
    </row>
    <row r="171" spans="1:4" x14ac:dyDescent="0.2">
      <c r="A171" s="5">
        <v>110</v>
      </c>
      <c r="B171" s="138">
        <f>'Assets-Liab 5-6'!F41</f>
        <v>20336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50424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50424</v>
      </c>
      <c r="C279" s="2" t="s">
        <v>573</v>
      </c>
      <c r="D279" s="2" t="str">
        <f t="shared" si="3"/>
        <v>Error?</v>
      </c>
    </row>
    <row r="280" spans="1:4" x14ac:dyDescent="0.2">
      <c r="A280" s="5">
        <v>219</v>
      </c>
      <c r="B280" s="138">
        <f>'Assets-Liab 5-6'!M40</f>
        <v>50424</v>
      </c>
      <c r="D280" s="2" t="str">
        <f t="shared" si="3"/>
        <v>Error?</v>
      </c>
    </row>
    <row r="281" spans="1:4" x14ac:dyDescent="0.2">
      <c r="A281" s="5">
        <v>220</v>
      </c>
      <c r="B281" s="138">
        <f>'Assets-Liab 5-6'!M41</f>
        <v>50424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11830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1217</v>
      </c>
      <c r="D719" s="2" t="str">
        <f t="shared" si="10"/>
        <v>Error?</v>
      </c>
    </row>
    <row r="720" spans="1:4" x14ac:dyDescent="0.2">
      <c r="A720" s="5">
        <v>659</v>
      </c>
      <c r="B720" s="138">
        <f>'Expenditures 15-22'!C33</f>
        <v>478803</v>
      </c>
      <c r="C720" s="2" t="s">
        <v>573</v>
      </c>
      <c r="D720" s="2" t="str">
        <f t="shared" si="10"/>
        <v>Error?</v>
      </c>
    </row>
    <row r="721" spans="1:4" x14ac:dyDescent="0.2">
      <c r="A721" s="5">
        <v>660</v>
      </c>
      <c r="B721" s="138">
        <f>'Expenditures 15-22'!C36</f>
        <v>44736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75595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85496</v>
      </c>
      <c r="D725" s="2" t="str">
        <f t="shared" si="10"/>
        <v>Error?</v>
      </c>
    </row>
    <row r="726" spans="1:4" x14ac:dyDescent="0.2">
      <c r="A726" s="5">
        <v>665</v>
      </c>
      <c r="B726" s="138">
        <f>'Expenditures 15-22'!C41</f>
        <v>23488</v>
      </c>
      <c r="D726" s="2" t="str">
        <f t="shared" si="10"/>
        <v>Error?</v>
      </c>
    </row>
    <row r="727" spans="1:4" x14ac:dyDescent="0.2">
      <c r="A727" s="5">
        <v>666</v>
      </c>
      <c r="B727" s="138">
        <f>'Expenditures 15-22'!C42</f>
        <v>229315</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126627</v>
      </c>
      <c r="D733" s="2" t="str">
        <f t="shared" si="10"/>
        <v>Error?</v>
      </c>
    </row>
    <row r="734" spans="1:4" x14ac:dyDescent="0.2">
      <c r="A734" s="5">
        <v>673</v>
      </c>
      <c r="B734" s="138">
        <f>'Expenditures 15-22'!C53</f>
        <v>126627</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30074</v>
      </c>
      <c r="D736" s="2" t="str">
        <f t="shared" si="10"/>
        <v>Error?</v>
      </c>
    </row>
    <row r="737" spans="1:4" x14ac:dyDescent="0.2">
      <c r="A737" s="5">
        <v>676</v>
      </c>
      <c r="B737" s="138">
        <f>'Expenditures 15-22'!C57</f>
        <v>30074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386016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864819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5117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375</v>
      </c>
      <c r="D777" s="2" t="str">
        <f t="shared" si="11"/>
        <v>Error?</v>
      </c>
    </row>
    <row r="778" spans="1:4" x14ac:dyDescent="0.2">
      <c r="A778" s="5">
        <v>717</v>
      </c>
      <c r="B778" s="138">
        <f>'Expenditures 15-22'!D33</f>
        <v>99381</v>
      </c>
      <c r="C778" s="2" t="s">
        <v>573</v>
      </c>
      <c r="D778" s="2" t="str">
        <f t="shared" si="11"/>
        <v>Error?</v>
      </c>
    </row>
    <row r="779" spans="1:4" x14ac:dyDescent="0.2">
      <c r="A779" s="5">
        <v>718</v>
      </c>
      <c r="B779" s="138">
        <f>'Expenditures 15-22'!D36</f>
        <v>6573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17849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12333</v>
      </c>
      <c r="D783" s="2" t="str">
        <f t="shared" si="11"/>
        <v>Error?</v>
      </c>
    </row>
    <row r="784" spans="1:4" x14ac:dyDescent="0.2">
      <c r="A784" s="5">
        <v>723</v>
      </c>
      <c r="B784" s="138">
        <f>'Expenditures 15-22'!D41</f>
        <v>3897</v>
      </c>
      <c r="D784" s="2" t="str">
        <f t="shared" si="11"/>
        <v>Error?</v>
      </c>
    </row>
    <row r="785" spans="1:4" x14ac:dyDescent="0.2">
      <c r="A785" s="5">
        <v>724</v>
      </c>
      <c r="B785" s="138">
        <f>'Expenditures 15-22'!D42</f>
        <v>40652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4070</v>
      </c>
      <c r="D791" s="2" t="str">
        <f t="shared" si="11"/>
        <v>Error?</v>
      </c>
    </row>
    <row r="792" spans="1:4" x14ac:dyDescent="0.2">
      <c r="A792" s="5">
        <v>731</v>
      </c>
      <c r="B792" s="138">
        <f>'Expenditures 15-22'!D53</f>
        <v>4070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3618</v>
      </c>
      <c r="D794" s="2" t="str">
        <f t="shared" si="11"/>
        <v>Error?</v>
      </c>
    </row>
    <row r="795" spans="1:4" x14ac:dyDescent="0.2">
      <c r="A795" s="5">
        <v>734</v>
      </c>
      <c r="B795" s="138">
        <f>'Expenditures 15-22'!D57</f>
        <v>3618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48340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147721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1059</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52817</v>
      </c>
      <c r="C836" s="2" t="s">
        <v>573</v>
      </c>
      <c r="D836" s="2" t="str">
        <f t="shared" si="12"/>
        <v>Error?</v>
      </c>
    </row>
    <row r="837" spans="1:4" x14ac:dyDescent="0.2">
      <c r="A837" s="5">
        <v>776</v>
      </c>
      <c r="B837" s="138">
        <f>'Expenditures 15-22'!E36</f>
        <v>68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1208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16024</v>
      </c>
      <c r="D841" s="2" t="str">
        <f t="shared" si="12"/>
        <v>Error?</v>
      </c>
    </row>
    <row r="842" spans="1:4" x14ac:dyDescent="0.2">
      <c r="A842" s="5">
        <v>781</v>
      </c>
      <c r="B842" s="138">
        <f>'Expenditures 15-22'!E41</f>
        <v>172</v>
      </c>
      <c r="D842" s="2" t="str">
        <f t="shared" si="12"/>
        <v>Error?</v>
      </c>
    </row>
    <row r="843" spans="1:4" x14ac:dyDescent="0.2">
      <c r="A843" s="5">
        <v>782</v>
      </c>
      <c r="B843" s="138">
        <f>'Expenditures 15-22'!E42</f>
        <v>17472</v>
      </c>
      <c r="C843" s="2" t="s">
        <v>573</v>
      </c>
      <c r="D843" s="2" t="str">
        <f t="shared" si="12"/>
        <v>Error?</v>
      </c>
    </row>
    <row r="844" spans="1:4" x14ac:dyDescent="0.2">
      <c r="A844" s="5">
        <v>783</v>
      </c>
      <c r="B844" s="138">
        <f>'Expenditures 15-22'!E44</f>
        <v>6421</v>
      </c>
      <c r="D844" s="2" t="str">
        <f t="shared" si="12"/>
        <v>Error?</v>
      </c>
    </row>
    <row r="845" spans="1:4" x14ac:dyDescent="0.2">
      <c r="A845" s="5">
        <v>784</v>
      </c>
      <c r="B845" s="138">
        <f>'Expenditures 15-22'!E45</f>
        <v>1849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8270</v>
      </c>
      <c r="C847" s="2" t="s">
        <v>573</v>
      </c>
      <c r="D847" s="2" t="str">
        <f t="shared" si="12"/>
        <v>Error?</v>
      </c>
    </row>
    <row r="848" spans="1:4" x14ac:dyDescent="0.2">
      <c r="A848" s="5">
        <v>787</v>
      </c>
      <c r="B848" s="138">
        <f>'Expenditures 15-22'!E49</f>
        <v>7563</v>
      </c>
      <c r="D848" s="2" t="str">
        <f t="shared" si="12"/>
        <v>Error?</v>
      </c>
    </row>
    <row r="849" spans="1:4" x14ac:dyDescent="0.2">
      <c r="A849" s="5">
        <v>788</v>
      </c>
      <c r="B849" s="138">
        <f>'Expenditures 15-22'!E50</f>
        <v>50316</v>
      </c>
      <c r="D849" s="2" t="str">
        <f t="shared" si="12"/>
        <v>Error?</v>
      </c>
    </row>
    <row r="850" spans="1:4" x14ac:dyDescent="0.2">
      <c r="A850" s="5">
        <v>789</v>
      </c>
      <c r="B850" s="138">
        <f>'Expenditures 15-22'!E53</f>
        <v>88196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508</v>
      </c>
      <c r="D852" s="2" t="str">
        <f t="shared" si="12"/>
        <v>Error?</v>
      </c>
    </row>
    <row r="853" spans="1:4" x14ac:dyDescent="0.2">
      <c r="A853" s="5">
        <v>792</v>
      </c>
      <c r="B853" s="138">
        <f>'Expenditures 15-22'!E57</f>
        <v>508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8650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8650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123096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175913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1777</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11719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3303</v>
      </c>
      <c r="D899" s="2" t="str">
        <f t="shared" si="13"/>
        <v>Error?</v>
      </c>
    </row>
    <row r="900" spans="1:4" x14ac:dyDescent="0.2">
      <c r="A900" s="5">
        <v>839</v>
      </c>
      <c r="B900" s="138">
        <f>'Expenditures 15-22'!F41</f>
        <v>480</v>
      </c>
      <c r="D900" s="2" t="str">
        <f t="shared" si="13"/>
        <v>Error?</v>
      </c>
    </row>
    <row r="901" spans="1:4" x14ac:dyDescent="0.2">
      <c r="A901" s="5">
        <v>840</v>
      </c>
      <c r="B901" s="138">
        <f>'Expenditures 15-22'!F42</f>
        <v>5251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1628</v>
      </c>
      <c r="D907" s="2" t="str">
        <f t="shared" si="13"/>
        <v>Error?</v>
      </c>
    </row>
    <row r="908" spans="1:4" x14ac:dyDescent="0.2">
      <c r="A908" s="5">
        <v>847</v>
      </c>
      <c r="B908" s="138">
        <f>'Expenditures 15-22'!F53</f>
        <v>1628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153</v>
      </c>
      <c r="D917" s="2" t="str">
        <f t="shared" si="13"/>
        <v>Error?</v>
      </c>
    </row>
    <row r="918" spans="1:4" x14ac:dyDescent="0.2">
      <c r="A918" s="10">
        <v>857</v>
      </c>
      <c r="D918" s="2" t="str">
        <f t="shared" si="13"/>
        <v>OK</v>
      </c>
    </row>
    <row r="919" spans="1:4" x14ac:dyDescent="0.2">
      <c r="A919" s="5">
        <v>858</v>
      </c>
      <c r="B919" s="138">
        <f>'Expenditures 15-22'!F65</f>
        <v>153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7032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18751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778</v>
      </c>
      <c r="D957" s="2" t="str">
        <f t="shared" si="13"/>
        <v>Error?</v>
      </c>
    </row>
    <row r="958" spans="1:4" x14ac:dyDescent="0.2">
      <c r="A958" s="5">
        <v>897</v>
      </c>
      <c r="B958" s="138">
        <f>'Expenditures 15-22'!G41</f>
        <v>0</v>
      </c>
      <c r="D958" s="2" t="str">
        <f t="shared" si="13"/>
        <v>Error?</v>
      </c>
    </row>
    <row r="959" spans="1:4" x14ac:dyDescent="0.2">
      <c r="A959" s="5">
        <v>898</v>
      </c>
      <c r="B959" s="138">
        <f>'Expenditures 15-22'!G42</f>
        <v>778</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778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6919</v>
      </c>
      <c r="D1023" s="2" t="str">
        <f t="shared" ref="D1023:D1086" si="15">IF(ISBLANK(B1023),"OK",IF(A1023-B1023=0,"OK","Error?"))</f>
        <v>Error?</v>
      </c>
    </row>
    <row r="1024" spans="1:4" x14ac:dyDescent="0.2">
      <c r="A1024" s="5">
        <v>963</v>
      </c>
      <c r="B1024" s="138">
        <f>'Expenditures 15-22'!H53</f>
        <v>6919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6919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1120895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1127814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19783</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1592</v>
      </c>
      <c r="C1107" s="2" t="s">
        <v>573</v>
      </c>
      <c r="D1107" s="2" t="str">
        <f t="shared" si="16"/>
        <v>Error?</v>
      </c>
    </row>
    <row r="1108" spans="1:4" x14ac:dyDescent="0.2">
      <c r="A1108" s="5">
        <v>1047</v>
      </c>
      <c r="B1108" s="138">
        <f>'Expenditures 15-22'!K33</f>
        <v>642720</v>
      </c>
      <c r="C1108" s="2" t="s">
        <v>573</v>
      </c>
      <c r="D1108" s="2" t="str">
        <f t="shared" si="16"/>
        <v>Error?</v>
      </c>
    </row>
    <row r="1109" spans="1:4" x14ac:dyDescent="0.2">
      <c r="A1109" s="5">
        <v>1048</v>
      </c>
      <c r="B1109" s="138">
        <f>'Expenditures 15-22'!K36</f>
        <v>51377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96120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117934</v>
      </c>
      <c r="C1113" s="2" t="s">
        <v>573</v>
      </c>
      <c r="D1113" s="2" t="str">
        <f t="shared" si="16"/>
        <v>Error?</v>
      </c>
    </row>
    <row r="1114" spans="1:4" x14ac:dyDescent="0.2">
      <c r="A1114" s="5">
        <v>1053</v>
      </c>
      <c r="B1114" s="138">
        <f>'Expenditures 15-22'!K41</f>
        <v>28037</v>
      </c>
      <c r="C1114" s="2" t="s">
        <v>573</v>
      </c>
      <c r="D1114" s="2" t="str">
        <f t="shared" si="16"/>
        <v>Error?</v>
      </c>
    </row>
    <row r="1115" spans="1:4" x14ac:dyDescent="0.2">
      <c r="A1115" s="5">
        <v>1054</v>
      </c>
      <c r="B1115" s="138">
        <f>'Expenditures 15-22'!K42</f>
        <v>293468</v>
      </c>
      <c r="C1115" s="2" t="s">
        <v>573</v>
      </c>
      <c r="D1115" s="2" t="str">
        <f t="shared" si="16"/>
        <v>Error?</v>
      </c>
    </row>
    <row r="1116" spans="1:4" x14ac:dyDescent="0.2">
      <c r="A1116" s="5">
        <v>1055</v>
      </c>
      <c r="B1116" s="138">
        <f>'Expenditures 15-22'!K44</f>
        <v>6421</v>
      </c>
      <c r="C1116" s="2" t="s">
        <v>573</v>
      </c>
      <c r="D1116" s="2" t="str">
        <f t="shared" si="16"/>
        <v>Error?</v>
      </c>
    </row>
    <row r="1117" spans="1:4" x14ac:dyDescent="0.2">
      <c r="A1117" s="5">
        <v>1056</v>
      </c>
      <c r="B1117" s="138">
        <f>'Expenditures 15-22'!K45</f>
        <v>1849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8270</v>
      </c>
      <c r="C1119" s="2" t="s">
        <v>573</v>
      </c>
      <c r="D1119" s="2" t="str">
        <f t="shared" si="16"/>
        <v>Error?</v>
      </c>
    </row>
    <row r="1120" spans="1:4" x14ac:dyDescent="0.2">
      <c r="A1120" s="5">
        <v>1059</v>
      </c>
      <c r="B1120" s="138">
        <f>'Expenditures 15-22'!K49</f>
        <v>7563</v>
      </c>
      <c r="C1120" s="2" t="s">
        <v>573</v>
      </c>
      <c r="D1120" s="2" t="str">
        <f t="shared" si="16"/>
        <v>Error?</v>
      </c>
    </row>
    <row r="1121" spans="1:4" x14ac:dyDescent="0.2">
      <c r="A1121" s="5">
        <v>1060</v>
      </c>
      <c r="B1121" s="138">
        <f>'Expenditures 15-22'!K50</f>
        <v>189560</v>
      </c>
      <c r="C1121" s="2" t="s">
        <v>573</v>
      </c>
      <c r="D1121" s="2" t="str">
        <f t="shared" si="16"/>
        <v>Error?</v>
      </c>
    </row>
    <row r="1122" spans="1:4" x14ac:dyDescent="0.2">
      <c r="A1122" s="5">
        <v>1061</v>
      </c>
      <c r="B1122" s="138">
        <f>'Expenditures 15-22'!K53</f>
        <v>227440</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34200</v>
      </c>
      <c r="C1124" s="2" t="s">
        <v>573</v>
      </c>
      <c r="D1124" s="2" t="str">
        <f t="shared" si="16"/>
        <v>Error?</v>
      </c>
    </row>
    <row r="1125" spans="1:4" x14ac:dyDescent="0.2">
      <c r="A1125" s="5">
        <v>1064</v>
      </c>
      <c r="B1125" s="138">
        <f>'Expenditures 15-22'!K57</f>
        <v>34200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8650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153</v>
      </c>
      <c r="C1131" s="2" t="s">
        <v>573</v>
      </c>
      <c r="D1131" s="2" t="str">
        <f t="shared" si="16"/>
        <v>Error?</v>
      </c>
    </row>
    <row r="1132" spans="1:4" x14ac:dyDescent="0.2">
      <c r="A1132" s="10">
        <v>1071</v>
      </c>
      <c r="D1132" s="2" t="str">
        <f t="shared" si="16"/>
        <v>OK</v>
      </c>
    </row>
    <row r="1133" spans="1:4" x14ac:dyDescent="0.2">
      <c r="A1133" s="5">
        <v>1072</v>
      </c>
      <c r="B1133" s="138">
        <f>'Expenditures 15-22'!K65</f>
        <v>8803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572181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1120895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2335796</v>
      </c>
      <c r="C1152" s="2" t="s">
        <v>573</v>
      </c>
      <c r="D1152" s="2" t="str">
        <f t="shared" si="17"/>
        <v>Error?</v>
      </c>
    </row>
    <row r="1153" spans="1:4" x14ac:dyDescent="0.2">
      <c r="A1153" s="5">
        <v>1092</v>
      </c>
      <c r="B1153" s="138">
        <f>'Expenditures 15-22'!K115</f>
        <v>-197528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1091111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893583</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20336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20336</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49646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49646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778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50424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50424</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50424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50424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702510</v>
      </c>
      <c r="C2551" s="2" t="s">
        <v>573</v>
      </c>
      <c r="D2551" s="2" t="str">
        <f t="shared" si="38"/>
        <v>Error?</v>
      </c>
    </row>
    <row r="2552" spans="1:4" x14ac:dyDescent="0.2">
      <c r="A2552" s="10">
        <v>2491</v>
      </c>
      <c r="D2552" s="2" t="str">
        <f t="shared" si="38"/>
        <v>OK</v>
      </c>
    </row>
    <row r="2553" spans="1:4" x14ac:dyDescent="0.2">
      <c r="A2553" s="5">
        <v>2492</v>
      </c>
      <c r="B2553" s="138">
        <f>'Acct Summary 7-8'!C6</f>
        <v>165318</v>
      </c>
      <c r="C2553" s="2" t="s">
        <v>573</v>
      </c>
      <c r="D2553" s="2" t="str">
        <f t="shared" si="38"/>
        <v>Error?</v>
      </c>
    </row>
    <row r="2554" spans="1:4" x14ac:dyDescent="0.2">
      <c r="A2554" s="5">
        <v>2493</v>
      </c>
      <c r="B2554" s="138">
        <f>'Acct Summary 7-8'!C7</f>
        <v>149545</v>
      </c>
      <c r="C2554" s="2" t="s">
        <v>573</v>
      </c>
      <c r="D2554" s="2" t="str">
        <f t="shared" si="38"/>
        <v>Error?</v>
      </c>
    </row>
    <row r="2555" spans="1:4" x14ac:dyDescent="0.2">
      <c r="A2555" s="5">
        <v>2494</v>
      </c>
      <c r="B2555" s="138">
        <f>'Acct Summary 7-8'!C8</f>
        <v>2138268</v>
      </c>
      <c r="C2555" s="2" t="s">
        <v>573</v>
      </c>
      <c r="D2555" s="2" t="str">
        <f t="shared" si="38"/>
        <v>Error?</v>
      </c>
    </row>
    <row r="2556" spans="1:4" x14ac:dyDescent="0.2">
      <c r="A2556" s="5">
        <v>2495</v>
      </c>
      <c r="B2556" s="138">
        <f>'Acct Summary 7-8'!C12</f>
        <v>642720</v>
      </c>
      <c r="C2556" s="2" t="s">
        <v>573</v>
      </c>
      <c r="D2556" s="2" t="str">
        <f t="shared" si="38"/>
        <v>Error?</v>
      </c>
    </row>
    <row r="2557" spans="1:4" x14ac:dyDescent="0.2">
      <c r="A2557" s="5">
        <v>2496</v>
      </c>
      <c r="B2557" s="138">
        <f>'Acct Summary 7-8'!C13</f>
        <v>572181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1120895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2335796</v>
      </c>
      <c r="C2561" s="2" t="s">
        <v>573</v>
      </c>
      <c r="D2561" s="2" t="str">
        <f t="shared" si="39"/>
        <v>Error?</v>
      </c>
    </row>
    <row r="2562" spans="1:4" x14ac:dyDescent="0.2">
      <c r="A2562" s="5">
        <v>2501</v>
      </c>
      <c r="B2562" s="138">
        <f>'Acct Summary 7-8'!C20</f>
        <v>-197528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8650</v>
      </c>
      <c r="D2855" s="2" t="str">
        <f t="shared" si="43"/>
        <v>Error?</v>
      </c>
    </row>
    <row r="2856" spans="1:4" x14ac:dyDescent="0.2">
      <c r="A2856" s="5">
        <v>2795</v>
      </c>
      <c r="B2856" s="138">
        <f>'ICR Computation 30'!E12</f>
        <v>153</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-197528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465756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93889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51758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9942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621345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1120895</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493302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20336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368142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2506410</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368142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2703938</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913919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11981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34114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4379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2000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696796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698796</v>
      </c>
      <c r="C5087" s="2" t="s">
        <v>573</v>
      </c>
      <c r="D5087" s="2" t="str">
        <f t="shared" si="78"/>
        <v>Error?</v>
      </c>
    </row>
    <row r="5088" spans="1:4" x14ac:dyDescent="0.2">
      <c r="A5088" s="5">
        <v>5027</v>
      </c>
      <c r="B5088" s="138">
        <f>'Revenues 9-14'!C65</f>
        <v>3634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3634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v>
      </c>
      <c r="D5119" s="2" t="str">
        <f t="shared" ref="D5119:D5182" si="79">IF(ISBLANK(B5119),"OK",IF(A5119-B5119=0,"OK","Error?"))</f>
        <v>Error?</v>
      </c>
    </row>
    <row r="5120" spans="1:4" x14ac:dyDescent="0.2">
      <c r="A5120" s="5">
        <v>5059</v>
      </c>
      <c r="B5120" s="138">
        <f>'Revenues 9-14'!C108</f>
        <v>80</v>
      </c>
      <c r="C5120" s="2" t="s">
        <v>573</v>
      </c>
      <c r="D5120" s="2" t="str">
        <f t="shared" si="79"/>
        <v>Error?</v>
      </c>
    </row>
    <row r="5121" spans="1:4" x14ac:dyDescent="0.2">
      <c r="A5121" s="5">
        <v>5060</v>
      </c>
      <c r="B5121" s="138">
        <f>'Revenues 9-14'!C109</f>
        <v>702510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1120895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1120895</v>
      </c>
      <c r="C5125" s="2" t="s">
        <v>573</v>
      </c>
      <c r="D5125" s="2" t="str">
        <f t="shared" si="79"/>
        <v>Error?</v>
      </c>
    </row>
    <row r="5126" spans="1:4" x14ac:dyDescent="0.2">
      <c r="A5126" s="5">
        <v>5065</v>
      </c>
      <c r="B5126" s="138">
        <f>'Revenues 9-14'!C117</f>
        <v>160939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160939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4379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165318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103450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103450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149545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149545</v>
      </c>
      <c r="C5326" s="2" t="s">
        <v>573</v>
      </c>
      <c r="D5326" s="2" t="str">
        <f t="shared" si="82"/>
        <v>Error?</v>
      </c>
    </row>
    <row r="5327" spans="1:5" x14ac:dyDescent="0.2">
      <c r="A5327" s="5">
        <v>5266</v>
      </c>
      <c r="B5327" s="138">
        <f>'Revenues 9-14'!C268</f>
        <v>2138268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748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-197528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-0.22105165384748815</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30317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30317</v>
      </c>
      <c r="D6940" s="2" t="str">
        <f t="shared" si="107"/>
        <v>Error?</v>
      </c>
    </row>
    <row r="6941" spans="1:4" x14ac:dyDescent="0.2">
      <c r="A6941">
        <v>6880</v>
      </c>
      <c r="B6941" s="138">
        <f>'Expenditures 15-22'!L52</f>
        <v>13000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1120895</v>
      </c>
      <c r="D6998" s="2" t="str">
        <f t="shared" si="108"/>
        <v>Error?</v>
      </c>
    </row>
    <row r="6999" spans="1:4" x14ac:dyDescent="0.2">
      <c r="A6999">
        <v>6938</v>
      </c>
      <c r="B6999" s="138">
        <f>'Expenditures 15-22'!K94</f>
        <v>1120895</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1120895</v>
      </c>
      <c r="D7012" s="2" t="str">
        <f t="shared" si="108"/>
        <v>Error?</v>
      </c>
    </row>
    <row r="7013" spans="1:4" x14ac:dyDescent="0.2">
      <c r="A7013">
        <v>6952</v>
      </c>
      <c r="B7013" s="138">
        <f>'Expenditures 15-22'!K100</f>
        <v>1120895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35545</v>
      </c>
      <c r="D7797" s="2" t="str">
        <f t="shared" si="127"/>
        <v>Error?</v>
      </c>
      <c r="E7797" s="4" t="s">
        <v>1900</v>
      </c>
    </row>
    <row r="7798" spans="1:5" x14ac:dyDescent="0.2">
      <c r="A7798">
        <v>7737</v>
      </c>
      <c r="B7798" s="138">
        <f>'Contracts Paid in CY 29'!F142</f>
        <v>25000</v>
      </c>
      <c r="D7798" s="2" t="str">
        <f t="shared" si="127"/>
        <v>Error?</v>
      </c>
      <c r="E7798" s="4" t="s">
        <v>1900</v>
      </c>
    </row>
    <row r="7799" spans="1:5" x14ac:dyDescent="0.2">
      <c r="A7799">
        <v>7738</v>
      </c>
      <c r="B7799" s="138">
        <f>'Contracts Paid in CY 29'!G142</f>
        <v>10545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22" sqref="B2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5" t="s">
        <v>1191</v>
      </c>
      <c r="B2" s="2435"/>
      <c r="C2" s="2435"/>
      <c r="D2" s="2435"/>
      <c r="E2" s="2435"/>
      <c r="F2" s="2435"/>
      <c r="G2" s="2435"/>
      <c r="H2" s="2435"/>
      <c r="I2" s="2435"/>
      <c r="J2" s="2435"/>
      <c r="K2" s="2435"/>
      <c r="L2" s="2435"/>
    </row>
    <row r="3" spans="1:29" ht="13.5" customHeight="1" x14ac:dyDescent="0.2">
      <c r="A3" s="2421" t="s">
        <v>1190</v>
      </c>
      <c r="B3" s="2421"/>
      <c r="C3" s="2421"/>
      <c r="D3" s="2421"/>
      <c r="E3" s="2421"/>
      <c r="F3" s="2421"/>
      <c r="G3" s="2421"/>
      <c r="H3" s="2421"/>
      <c r="I3" s="2421"/>
      <c r="J3" s="2421"/>
      <c r="K3" s="2421"/>
      <c r="L3" s="2421"/>
    </row>
    <row r="4" spans="1:29" ht="13.5" customHeight="1" x14ac:dyDescent="0.2">
      <c r="A4" s="2435" t="s">
        <v>1984</v>
      </c>
      <c r="B4" s="2452"/>
      <c r="C4" s="2452"/>
      <c r="D4" s="2452"/>
      <c r="E4" s="2452"/>
      <c r="F4" s="2452"/>
      <c r="G4" s="2452"/>
      <c r="H4" s="2452"/>
      <c r="I4" s="2452"/>
      <c r="J4" s="2452"/>
      <c r="K4" s="2452"/>
      <c r="L4" s="245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5" t="str">
        <f>COVER!A17</f>
        <v>Kankakee Area Spec Educ Coop</v>
      </c>
      <c r="B7" s="2416"/>
      <c r="C7" s="2416"/>
      <c r="D7" s="2453"/>
      <c r="E7" s="2454">
        <f>COVER!A13</f>
        <v>32046850060</v>
      </c>
      <c r="F7" s="2455"/>
      <c r="G7" s="2422" t="str">
        <f>COVER!T23</f>
        <v>066-005281</v>
      </c>
      <c r="H7" s="2423"/>
      <c r="I7" s="2423"/>
      <c r="J7" s="2423"/>
      <c r="K7" s="2423"/>
      <c r="L7" s="242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5"/>
      <c r="B9" s="2426"/>
      <c r="C9" s="2426"/>
      <c r="D9" s="2426"/>
      <c r="E9" s="2426"/>
      <c r="F9" s="2427"/>
      <c r="G9" s="2428" t="str">
        <f>COVER!T13</f>
        <v>Smith, Koelling, Dykstra &amp; Ohm, P.C.</v>
      </c>
      <c r="H9" s="2429"/>
      <c r="I9" s="2429"/>
      <c r="J9" s="2429"/>
      <c r="K9" s="2429"/>
      <c r="L9" s="2430"/>
    </row>
    <row r="10" spans="1:29" ht="13.5" customHeight="1" x14ac:dyDescent="0.2">
      <c r="A10" s="2412" t="str">
        <f>COVER!A38</f>
        <v>Debra Quain</v>
      </c>
      <c r="B10" s="2413"/>
      <c r="C10" s="2413"/>
      <c r="D10" s="2413"/>
      <c r="E10" s="2413"/>
      <c r="F10" s="2414"/>
      <c r="G10" s="2428" t="str">
        <f>COVER!T17</f>
        <v>1605 North Convent</v>
      </c>
      <c r="H10" s="2441"/>
      <c r="I10" s="2441"/>
      <c r="J10" s="2441"/>
      <c r="K10" s="2441"/>
      <c r="L10" s="2442"/>
    </row>
    <row r="11" spans="1:29" ht="13.5" customHeight="1" x14ac:dyDescent="0.2">
      <c r="A11" s="1184" t="s">
        <v>1519</v>
      </c>
      <c r="B11" s="1185"/>
      <c r="C11" s="1186"/>
      <c r="D11" s="1191"/>
      <c r="E11" s="1186"/>
      <c r="F11" s="1190"/>
      <c r="G11" s="2428" t="str">
        <f>COVER!T19</f>
        <v>Bourbonnais</v>
      </c>
      <c r="H11" s="2441"/>
      <c r="I11" s="2441"/>
      <c r="J11" s="2441"/>
      <c r="K11" s="2441"/>
      <c r="L11" s="2442"/>
    </row>
    <row r="12" spans="1:29" ht="13.5" customHeight="1" x14ac:dyDescent="0.2">
      <c r="A12" s="2446" t="s">
        <v>1518</v>
      </c>
      <c r="B12" s="2447"/>
      <c r="C12" s="2447"/>
      <c r="D12" s="2447"/>
      <c r="E12" s="2447"/>
      <c r="F12" s="2448"/>
      <c r="G12" s="2443"/>
      <c r="H12" s="2444"/>
      <c r="I12" s="2444"/>
      <c r="J12" s="2444"/>
      <c r="K12" s="2444"/>
      <c r="L12" s="2445"/>
    </row>
    <row r="13" spans="1:29" ht="13.5" customHeight="1" x14ac:dyDescent="0.2">
      <c r="A13" s="2428"/>
      <c r="B13" s="2441"/>
      <c r="C13" s="2441"/>
      <c r="D13" s="2441"/>
      <c r="E13" s="2441"/>
      <c r="F13" s="2442"/>
      <c r="G13" s="2436" t="s">
        <v>1520</v>
      </c>
      <c r="H13" s="2437"/>
      <c r="I13" s="2449" t="str">
        <f>COVER!T25</f>
        <v>carmenh@skdocpa.com</v>
      </c>
      <c r="J13" s="2450"/>
      <c r="K13" s="2450"/>
      <c r="L13" s="2451"/>
    </row>
    <row r="14" spans="1:29" ht="13.5" customHeight="1" x14ac:dyDescent="0.2">
      <c r="A14" s="2428" t="str">
        <f>COVER!A19</f>
        <v>P.O. Box 71</v>
      </c>
      <c r="B14" s="2441"/>
      <c r="C14" s="2441"/>
      <c r="D14" s="2441"/>
      <c r="E14" s="2441"/>
      <c r="F14" s="2442"/>
      <c r="G14" s="1195" t="s">
        <v>1185</v>
      </c>
      <c r="H14" s="1193"/>
      <c r="I14" s="1193"/>
      <c r="J14" s="1193"/>
      <c r="K14" s="1193"/>
      <c r="L14" s="1194"/>
    </row>
    <row r="15" spans="1:29" ht="13.5" customHeight="1" x14ac:dyDescent="0.2">
      <c r="A15" s="2428" t="str">
        <f>COVER!A21</f>
        <v>St. Anne</v>
      </c>
      <c r="B15" s="2441"/>
      <c r="C15" s="2441"/>
      <c r="D15" s="2441"/>
      <c r="E15" s="2441"/>
      <c r="F15" s="2442"/>
      <c r="G15" s="2438" t="str">
        <f>COVER!T15</f>
        <v>Carmen Huizenga</v>
      </c>
      <c r="H15" s="2439"/>
      <c r="I15" s="2439"/>
      <c r="J15" s="2439"/>
      <c r="K15" s="2439"/>
      <c r="L15" s="2440"/>
    </row>
    <row r="16" spans="1:29" ht="12.2" customHeight="1" x14ac:dyDescent="0.2">
      <c r="A16" s="2418">
        <f>COVER!A25</f>
        <v>60964</v>
      </c>
      <c r="B16" s="2419"/>
      <c r="C16" s="2419"/>
      <c r="D16" s="2419"/>
      <c r="E16" s="2419"/>
      <c r="F16" s="2420"/>
      <c r="G16" s="2431"/>
      <c r="H16" s="2432"/>
      <c r="I16" s="2432"/>
      <c r="J16" s="2432"/>
      <c r="K16" s="2432"/>
      <c r="L16" s="2433"/>
    </row>
    <row r="17" spans="1:13" ht="12.2" customHeight="1" x14ac:dyDescent="0.2">
      <c r="A17" s="2434"/>
      <c r="B17" s="2419"/>
      <c r="C17" s="2419"/>
      <c r="D17" s="2419"/>
      <c r="E17" s="2419"/>
      <c r="F17" s="2420"/>
      <c r="G17" s="1195" t="s">
        <v>1184</v>
      </c>
      <c r="H17" s="1193"/>
      <c r="I17" s="1193"/>
      <c r="J17" s="1193"/>
      <c r="K17" s="1197" t="s">
        <v>1183</v>
      </c>
      <c r="L17" s="1190"/>
      <c r="M17" s="1183"/>
    </row>
    <row r="18" spans="1:13" ht="12.2" customHeight="1" x14ac:dyDescent="0.2">
      <c r="A18" s="2412"/>
      <c r="B18" s="2413"/>
      <c r="C18" s="2413"/>
      <c r="D18" s="2413"/>
      <c r="E18" s="2413"/>
      <c r="F18" s="2414"/>
      <c r="G18" s="2415" t="str">
        <f>COVER!T21</f>
        <v>815-937-1997</v>
      </c>
      <c r="H18" s="2416"/>
      <c r="I18" s="2416"/>
      <c r="J18" s="2416"/>
      <c r="K18" s="2415" t="str">
        <f>COVER!X21</f>
        <v>815-935-0360</v>
      </c>
      <c r="L18" s="241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3" zoomScale="125" zoomScaleNormal="125" workbookViewId="0">
      <selection activeCell="B22" sqref="B2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6" t="str">
        <f>'Single Audit Cover'!A7</f>
        <v>Kankakee Area Spec Educ Coop</v>
      </c>
      <c r="B1" s="2452"/>
      <c r="C1" s="2452"/>
      <c r="D1" s="2452"/>
    </row>
    <row r="2" spans="1:11" s="1212" customFormat="1" ht="12.75" x14ac:dyDescent="0.2">
      <c r="A2" s="2457">
        <f>'Single Audit Cover'!E7</f>
        <v>32046850060</v>
      </c>
      <c r="B2" s="2458"/>
      <c r="C2" s="2458"/>
      <c r="D2" s="2458"/>
    </row>
    <row r="3" spans="1:11" s="1212" customFormat="1" ht="12.75" x14ac:dyDescent="0.2">
      <c r="A3" s="2456" t="s">
        <v>1513</v>
      </c>
      <c r="B3" s="2452"/>
      <c r="C3" s="2452"/>
      <c r="D3" s="245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2080</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2080</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2080</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2080</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2080</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2110</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2080</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2080</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2110</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2080</v>
      </c>
      <c r="C42" s="1229">
        <v>11</v>
      </c>
      <c r="D42" s="1240" t="s">
        <v>1574</v>
      </c>
      <c r="E42" s="312"/>
    </row>
    <row r="43" spans="1:5" ht="3" customHeight="1" x14ac:dyDescent="0.2">
      <c r="A43" s="1219"/>
      <c r="B43" s="1236"/>
      <c r="C43" s="1237"/>
      <c r="D43" s="1218"/>
    </row>
    <row r="44" spans="1:5" x14ac:dyDescent="0.2">
      <c r="A44" s="1219"/>
      <c r="B44" s="1222" t="s">
        <v>2110</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2110</v>
      </c>
      <c r="C48" s="1223">
        <f>C44+1</f>
        <v>13</v>
      </c>
      <c r="D48" s="1234" t="s">
        <v>1575</v>
      </c>
    </row>
    <row r="49" spans="1:4" ht="3" customHeight="1" x14ac:dyDescent="0.2">
      <c r="A49" s="1219"/>
      <c r="B49" s="1226" t="s">
        <v>2110</v>
      </c>
      <c r="C49" s="1223"/>
      <c r="D49" s="1234"/>
    </row>
    <row r="50" spans="1:4" x14ac:dyDescent="0.2">
      <c r="A50" s="1219"/>
      <c r="B50" s="1222" t="s">
        <v>2110</v>
      </c>
      <c r="C50" s="1223">
        <f>C48+1</f>
        <v>14</v>
      </c>
      <c r="D50" s="1234" t="s">
        <v>1212</v>
      </c>
    </row>
    <row r="51" spans="1:4" ht="3" customHeight="1" x14ac:dyDescent="0.2">
      <c r="A51" s="1219"/>
      <c r="B51" s="1226"/>
      <c r="C51" s="1223"/>
      <c r="D51" s="1234"/>
    </row>
    <row r="52" spans="1:4" x14ac:dyDescent="0.2">
      <c r="A52" s="1219"/>
      <c r="B52" s="1222" t="s">
        <v>2110</v>
      </c>
      <c r="C52" s="1223">
        <f>C50+1</f>
        <v>15</v>
      </c>
      <c r="D52" s="1234" t="s">
        <v>1211</v>
      </c>
    </row>
    <row r="53" spans="1:4" ht="3" customHeight="1" x14ac:dyDescent="0.2">
      <c r="A53" s="1219"/>
      <c r="B53" s="1226"/>
      <c r="C53" s="1223"/>
      <c r="D53" s="1234"/>
    </row>
    <row r="54" spans="1:4" x14ac:dyDescent="0.2">
      <c r="A54" s="1219"/>
      <c r="B54" s="1222" t="s">
        <v>2110</v>
      </c>
      <c r="C54" s="1223">
        <f>C52+1</f>
        <v>16</v>
      </c>
      <c r="D54" s="1234" t="s">
        <v>1210</v>
      </c>
    </row>
    <row r="55" spans="1:4" ht="3" customHeight="1" x14ac:dyDescent="0.2">
      <c r="A55" s="1219"/>
      <c r="B55" s="1226"/>
      <c r="C55" s="1223"/>
      <c r="D55" s="1234"/>
    </row>
    <row r="56" spans="1:4" x14ac:dyDescent="0.2">
      <c r="A56" s="1219"/>
      <c r="B56" s="1222" t="s">
        <v>2110</v>
      </c>
      <c r="C56" s="1223">
        <f>C54+1</f>
        <v>17</v>
      </c>
      <c r="D56" s="1218" t="s">
        <v>1708</v>
      </c>
    </row>
    <row r="57" spans="1:4" ht="10.5" customHeight="1" x14ac:dyDescent="0.2">
      <c r="A57" s="1219"/>
      <c r="D57" s="1234" t="s">
        <v>1709</v>
      </c>
    </row>
    <row r="58" spans="1:4" x14ac:dyDescent="0.2">
      <c r="A58" s="1219"/>
      <c r="C58" s="1241" t="s">
        <v>2110</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2110</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2110</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2110</v>
      </c>
      <c r="D69" s="1234" t="s">
        <v>1713</v>
      </c>
    </row>
    <row r="70" spans="1:4" x14ac:dyDescent="0.2">
      <c r="A70" s="1219"/>
      <c r="D70" s="1243" t="s">
        <v>1206</v>
      </c>
    </row>
    <row r="71" spans="1:4" ht="3" customHeight="1" x14ac:dyDescent="0.2">
      <c r="A71" s="1219"/>
      <c r="D71" s="1218"/>
    </row>
    <row r="72" spans="1:4" x14ac:dyDescent="0.2">
      <c r="A72" s="1219"/>
      <c r="B72" s="1222" t="s">
        <v>2080</v>
      </c>
      <c r="C72" s="1223">
        <f>C56+1</f>
        <v>18</v>
      </c>
      <c r="D72" s="1244" t="s">
        <v>1714</v>
      </c>
    </row>
    <row r="73" spans="1:4" ht="3" customHeight="1" x14ac:dyDescent="0.2">
      <c r="A73" s="1219"/>
      <c r="B73" s="1226"/>
      <c r="C73" s="1223"/>
      <c r="D73" s="1244"/>
    </row>
    <row r="74" spans="1:4" x14ac:dyDescent="0.2">
      <c r="A74" s="1219"/>
      <c r="B74" s="1222" t="s">
        <v>2080</v>
      </c>
      <c r="C74" s="1223">
        <f>C72+1</f>
        <v>19</v>
      </c>
      <c r="D74" s="1234" t="s">
        <v>1205</v>
      </c>
    </row>
    <row r="75" spans="1:4" ht="3" customHeight="1" x14ac:dyDescent="0.2">
      <c r="A75" s="1219"/>
      <c r="B75" s="1226"/>
      <c r="C75" s="1223"/>
      <c r="D75" s="1234"/>
    </row>
    <row r="76" spans="1:4" x14ac:dyDescent="0.2">
      <c r="A76" s="1219"/>
      <c r="B76" s="1222" t="s">
        <v>2080</v>
      </c>
      <c r="C76" s="1223">
        <f>C74+1</f>
        <v>20</v>
      </c>
      <c r="D76" s="1245" t="s">
        <v>1715</v>
      </c>
    </row>
    <row r="77" spans="1:4" ht="3" customHeight="1" x14ac:dyDescent="0.2">
      <c r="A77" s="1219"/>
      <c r="B77" s="1226"/>
      <c r="C77" s="1223"/>
      <c r="D77" s="1245"/>
    </row>
    <row r="78" spans="1:4" x14ac:dyDescent="0.2">
      <c r="A78" s="1219"/>
      <c r="B78" s="1222" t="s">
        <v>2080</v>
      </c>
      <c r="C78" s="1223">
        <f>C76+1</f>
        <v>21</v>
      </c>
      <c r="D78" s="1218" t="s">
        <v>1716</v>
      </c>
    </row>
    <row r="79" spans="1:4" ht="3" customHeight="1" x14ac:dyDescent="0.2">
      <c r="A79" s="1219"/>
      <c r="B79" s="1226"/>
      <c r="C79" s="1223"/>
      <c r="D79" s="1218"/>
    </row>
    <row r="80" spans="1:4" x14ac:dyDescent="0.2">
      <c r="A80" s="1219"/>
      <c r="B80" s="1222" t="s">
        <v>2080</v>
      </c>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2080</v>
      </c>
      <c r="C85" s="1223">
        <f>C82+1</f>
        <v>24</v>
      </c>
      <c r="D85" s="1234" t="s">
        <v>1203</v>
      </c>
    </row>
    <row r="86" spans="1:4" ht="3" customHeight="1" x14ac:dyDescent="0.2">
      <c r="A86" s="1219"/>
      <c r="B86" s="1226"/>
      <c r="C86" s="1223"/>
      <c r="D86" s="1234"/>
    </row>
    <row r="87" spans="1:4" x14ac:dyDescent="0.2">
      <c r="A87" s="1219"/>
      <c r="B87" s="1222" t="s">
        <v>2080</v>
      </c>
      <c r="C87" s="1223">
        <f>C85+1</f>
        <v>25</v>
      </c>
      <c r="D87" s="1234" t="s">
        <v>1202</v>
      </c>
    </row>
    <row r="88" spans="1:4" ht="3" customHeight="1" x14ac:dyDescent="0.2">
      <c r="A88" s="1219"/>
      <c r="B88" s="1226"/>
      <c r="C88" s="1223"/>
      <c r="D88" s="1234"/>
    </row>
    <row r="89" spans="1:4" x14ac:dyDescent="0.2">
      <c r="A89" s="1219"/>
      <c r="B89" s="1222" t="s">
        <v>2080</v>
      </c>
      <c r="C89" s="1223">
        <f>C87+1</f>
        <v>26</v>
      </c>
      <c r="D89" s="1234" t="s">
        <v>1201</v>
      </c>
    </row>
    <row r="90" spans="1:4" ht="3" customHeight="1" x14ac:dyDescent="0.2">
      <c r="A90" s="1219"/>
      <c r="B90" s="1226"/>
      <c r="C90" s="1223"/>
      <c r="D90" s="1234"/>
    </row>
    <row r="91" spans="1:4" x14ac:dyDescent="0.2">
      <c r="A91" s="1219"/>
      <c r="B91" s="1222" t="s">
        <v>2080</v>
      </c>
      <c r="C91" s="1223">
        <f>C89+1</f>
        <v>27</v>
      </c>
      <c r="D91" s="1234" t="s">
        <v>1719</v>
      </c>
    </row>
    <row r="92" spans="1:4" x14ac:dyDescent="0.2">
      <c r="A92" s="1219"/>
      <c r="B92" s="1247"/>
      <c r="C92" s="1241" t="s">
        <v>2110</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2080</v>
      </c>
      <c r="C96" s="1223">
        <f>C91+1</f>
        <v>28</v>
      </c>
      <c r="D96" s="1234" t="s">
        <v>1720</v>
      </c>
    </row>
    <row r="97" spans="1:4" ht="3" customHeight="1" x14ac:dyDescent="0.2">
      <c r="A97" s="1219"/>
      <c r="B97" s="1226"/>
      <c r="C97" s="1223"/>
      <c r="D97" s="1234"/>
    </row>
    <row r="98" spans="1:4" x14ac:dyDescent="0.2">
      <c r="A98" s="1219"/>
      <c r="B98" s="1222" t="s">
        <v>2080</v>
      </c>
      <c r="C98" s="1223">
        <f>C96+1</f>
        <v>29</v>
      </c>
      <c r="D98" s="1248" t="s">
        <v>1721</v>
      </c>
    </row>
    <row r="99" spans="1:4" ht="3" customHeight="1" x14ac:dyDescent="0.2">
      <c r="A99" s="1219"/>
      <c r="B99" s="1226"/>
      <c r="C99" s="1223"/>
      <c r="D99" s="1248"/>
    </row>
    <row r="100" spans="1:4" x14ac:dyDescent="0.2">
      <c r="A100" s="1219"/>
      <c r="B100" s="1222" t="s">
        <v>2080</v>
      </c>
      <c r="C100" s="1223">
        <f>C98+1</f>
        <v>30</v>
      </c>
      <c r="D100" s="1234" t="s">
        <v>1722</v>
      </c>
    </row>
    <row r="101" spans="1:4" ht="3" customHeight="1" x14ac:dyDescent="0.2">
      <c r="A101" s="1219"/>
      <c r="B101" s="1226"/>
      <c r="C101" s="1223"/>
      <c r="D101" s="1249"/>
    </row>
    <row r="102" spans="1:4" x14ac:dyDescent="0.2">
      <c r="A102" s="1219"/>
      <c r="B102" s="1222" t="s">
        <v>2080</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2110</v>
      </c>
      <c r="C106" s="1223">
        <f>C102+1</f>
        <v>32</v>
      </c>
      <c r="D106" s="1218" t="s">
        <v>1580</v>
      </c>
    </row>
    <row r="107" spans="1:4" ht="3" customHeight="1" x14ac:dyDescent="0.2">
      <c r="A107" s="1219"/>
      <c r="B107" s="1226"/>
      <c r="C107" s="1223"/>
      <c r="D107" s="1218"/>
    </row>
    <row r="108" spans="1:4" x14ac:dyDescent="0.2">
      <c r="A108" s="1219"/>
      <c r="B108" s="1222" t="s">
        <v>2110</v>
      </c>
      <c r="C108" s="1223">
        <v>33</v>
      </c>
      <c r="D108" s="1218" t="s">
        <v>1723</v>
      </c>
    </row>
    <row r="109" spans="1:4" ht="3" customHeight="1" x14ac:dyDescent="0.2">
      <c r="A109" s="1219"/>
      <c r="B109" s="1226"/>
      <c r="C109" s="1223"/>
      <c r="D109" s="1218"/>
    </row>
    <row r="110" spans="1:4" x14ac:dyDescent="0.2">
      <c r="A110" s="1219"/>
      <c r="B110" s="1222" t="s">
        <v>2110</v>
      </c>
      <c r="C110" s="1223">
        <f>C108+1</f>
        <v>34</v>
      </c>
      <c r="D110" s="1218" t="s">
        <v>1198</v>
      </c>
    </row>
    <row r="111" spans="1:4" ht="3" customHeight="1" x14ac:dyDescent="0.2">
      <c r="A111" s="1219"/>
      <c r="B111" s="1226"/>
      <c r="C111" s="1223"/>
      <c r="D111" s="1218"/>
    </row>
    <row r="112" spans="1:4" x14ac:dyDescent="0.2">
      <c r="A112" s="1219"/>
      <c r="B112" s="1222" t="s">
        <v>2110</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2110</v>
      </c>
      <c r="C115" s="1223">
        <f>C112+1</f>
        <v>36</v>
      </c>
      <c r="D115" s="1234" t="s">
        <v>1195</v>
      </c>
    </row>
    <row r="116" spans="1:4" ht="3" customHeight="1" x14ac:dyDescent="0.2">
      <c r="A116" s="1219"/>
      <c r="B116" s="1226"/>
      <c r="C116" s="1223"/>
      <c r="D116" s="1234"/>
    </row>
    <row r="117" spans="1:4" x14ac:dyDescent="0.2">
      <c r="A117" s="1219"/>
      <c r="B117" s="1222" t="s">
        <v>2110</v>
      </c>
      <c r="C117" s="1223">
        <f>C115+1</f>
        <v>37</v>
      </c>
      <c r="D117" s="1234" t="s">
        <v>1724</v>
      </c>
    </row>
    <row r="118" spans="1:4" ht="3" customHeight="1" x14ac:dyDescent="0.2">
      <c r="A118" s="1219"/>
      <c r="B118" s="1226"/>
      <c r="C118" s="1223"/>
      <c r="D118" s="1234"/>
    </row>
    <row r="119" spans="1:4" x14ac:dyDescent="0.2">
      <c r="A119" s="1219"/>
      <c r="B119" s="1222" t="s">
        <v>2110</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2110</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22" sqref="B2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0" t="str">
        <f>'Single Audit Cover'!A7</f>
        <v>Kankakee Area Spec Educ Coop</v>
      </c>
      <c r="B1" s="2460"/>
      <c r="C1" s="2460"/>
      <c r="D1" s="2460"/>
      <c r="E1" s="2460"/>
    </row>
    <row r="2" spans="1:5" x14ac:dyDescent="0.2">
      <c r="A2" s="2461">
        <f>'Single Audit Cover'!E7</f>
        <v>32046850060</v>
      </c>
      <c r="B2" s="2461"/>
      <c r="C2" s="2461"/>
      <c r="D2" s="2461"/>
      <c r="E2" s="2461"/>
    </row>
    <row r="3" spans="1:5" ht="4.5" customHeight="1" x14ac:dyDescent="0.2"/>
    <row r="4" spans="1:5" x14ac:dyDescent="0.2">
      <c r="A4" s="2460" t="s">
        <v>1245</v>
      </c>
      <c r="B4" s="2460"/>
      <c r="C4" s="2460"/>
      <c r="D4" s="2460"/>
      <c r="E4" s="2460"/>
    </row>
    <row r="5" spans="1:5" x14ac:dyDescent="0.2">
      <c r="A5" s="2463" t="str">
        <f>'Single Audit Cover'!A4</f>
        <v>Year Ending June 30, 2019</v>
      </c>
      <c r="B5" s="2463"/>
      <c r="C5" s="2463"/>
      <c r="D5" s="2463"/>
      <c r="E5" s="2463"/>
    </row>
    <row r="6" spans="1:5" x14ac:dyDescent="0.2">
      <c r="A6" s="2460" t="s">
        <v>1244</v>
      </c>
      <c r="B6" s="2460"/>
      <c r="C6" s="2460"/>
      <c r="D6" s="2460"/>
      <c r="E6" s="2460"/>
    </row>
    <row r="8" spans="1:5" x14ac:dyDescent="0.2">
      <c r="A8" s="1257" t="s">
        <v>1243</v>
      </c>
    </row>
    <row r="10" spans="1:5" x14ac:dyDescent="0.2">
      <c r="A10" s="1258" t="s">
        <v>1242</v>
      </c>
      <c r="B10" s="1259" t="s">
        <v>1241</v>
      </c>
      <c r="C10" s="1259"/>
      <c r="D10" s="1260">
        <f>SUM('Acct Summary 7-8'!C7:K7)</f>
        <v>149545</v>
      </c>
    </row>
    <row r="11" spans="1:5" ht="18" customHeight="1" x14ac:dyDescent="0.2">
      <c r="A11" s="1258" t="s">
        <v>1240</v>
      </c>
      <c r="B11" s="1259"/>
      <c r="C11" s="1259"/>
    </row>
    <row r="12" spans="1:5" x14ac:dyDescent="0.2">
      <c r="A12" s="1258" t="s">
        <v>1239</v>
      </c>
      <c r="B12" s="1259" t="s">
        <v>1238</v>
      </c>
      <c r="C12" s="1259"/>
      <c r="D12" s="1261">
        <f>SUM('Revenues 9-14'!C112:D112,'Revenues 9-14'!F112:G112)</f>
        <v>1120895</v>
      </c>
    </row>
    <row r="13" spans="1:5" x14ac:dyDescent="0.2">
      <c r="A13" s="1258" t="s">
        <v>1237</v>
      </c>
      <c r="B13" s="1259"/>
      <c r="C13" s="1259"/>
    </row>
    <row r="14" spans="1:5" x14ac:dyDescent="0.2">
      <c r="A14" s="1258" t="s">
        <v>1727</v>
      </c>
      <c r="B14" s="1259"/>
      <c r="C14" s="1259"/>
      <c r="D14" s="1261">
        <f>'ICR Computation 30'!E11</f>
        <v>748</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-34114</v>
      </c>
    </row>
    <row r="19" spans="1:4" ht="13.5" thickBot="1" x14ac:dyDescent="0.25">
      <c r="A19" s="1262" t="s">
        <v>1235</v>
      </c>
      <c r="D19" s="1263">
        <f>SUM(D10:D17)</f>
        <v>1237074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2" t="s">
        <v>2088</v>
      </c>
      <c r="B24" s="2462"/>
      <c r="D24" s="1265"/>
    </row>
    <row r="25" spans="1:4" x14ac:dyDescent="0.2">
      <c r="A25" s="2459" t="s">
        <v>2089</v>
      </c>
      <c r="B25" s="2459"/>
      <c r="D25" s="1265">
        <v>500</v>
      </c>
    </row>
    <row r="26" spans="1:4" x14ac:dyDescent="0.2">
      <c r="A26" s="2459"/>
      <c r="B26" s="2459"/>
      <c r="D26" s="1265"/>
    </row>
    <row r="27" spans="1:4" x14ac:dyDescent="0.2">
      <c r="A27" s="2459"/>
      <c r="B27" s="2459"/>
      <c r="D27" s="1265"/>
    </row>
    <row r="28" spans="1:4" x14ac:dyDescent="0.2">
      <c r="A28" s="2459"/>
      <c r="B28" s="2459"/>
      <c r="D28" s="1265"/>
    </row>
    <row r="29" spans="1:4" x14ac:dyDescent="0.2">
      <c r="A29" s="2459"/>
      <c r="B29" s="2459"/>
      <c r="D29" s="1265"/>
    </row>
    <row r="30" spans="1:4" x14ac:dyDescent="0.2">
      <c r="A30" s="2459"/>
      <c r="B30" s="2459"/>
      <c r="D30" s="1265"/>
    </row>
    <row r="32" spans="1:4" x14ac:dyDescent="0.2">
      <c r="A32" s="1257" t="s">
        <v>1233</v>
      </c>
      <c r="D32" s="1260">
        <f>SUM(D19:D30)</f>
        <v>1237574</v>
      </c>
    </row>
    <row r="33" spans="1:4" x14ac:dyDescent="0.2">
      <c r="D33" s="1266"/>
    </row>
    <row r="34" spans="1:4" x14ac:dyDescent="0.2">
      <c r="A34" s="317" t="s">
        <v>1232</v>
      </c>
    </row>
    <row r="35" spans="1:4" x14ac:dyDescent="0.2">
      <c r="A35" s="317" t="s">
        <v>1231</v>
      </c>
      <c r="B35" s="1255" t="s">
        <v>1230</v>
      </c>
      <c r="D35" s="1267">
        <f>' SEFA (2)'!F26</f>
        <v>1237574</v>
      </c>
    </row>
    <row r="37" spans="1:4" x14ac:dyDescent="0.2">
      <c r="A37" s="1257" t="s">
        <v>1229</v>
      </c>
    </row>
    <row r="39" spans="1:4" ht="13.35" customHeight="1" x14ac:dyDescent="0.2">
      <c r="A39" s="1264" t="s">
        <v>1228</v>
      </c>
    </row>
    <row r="40" spans="1:4" x14ac:dyDescent="0.2">
      <c r="A40" s="2459"/>
      <c r="B40" s="2459"/>
      <c r="D40" s="1265"/>
    </row>
    <row r="41" spans="1:4" x14ac:dyDescent="0.2">
      <c r="A41" s="2459"/>
      <c r="B41" s="2459"/>
      <c r="D41" s="1268"/>
    </row>
    <row r="42" spans="1:4" x14ac:dyDescent="0.2">
      <c r="A42" s="2459"/>
      <c r="B42" s="2459"/>
      <c r="D42" s="1268"/>
    </row>
    <row r="43" spans="1:4" x14ac:dyDescent="0.2">
      <c r="A43" s="2459"/>
      <c r="B43" s="2459"/>
      <c r="D43" s="1268"/>
    </row>
    <row r="44" spans="1:4" x14ac:dyDescent="0.2">
      <c r="A44" s="2459"/>
      <c r="B44" s="2459"/>
      <c r="D44" s="1268"/>
    </row>
    <row r="45" spans="1:4" x14ac:dyDescent="0.2">
      <c r="A45" s="2459"/>
      <c r="B45" s="2459"/>
      <c r="D45" s="1268"/>
    </row>
    <row r="47" spans="1:4" x14ac:dyDescent="0.2">
      <c r="B47" s="1269" t="s">
        <v>1227</v>
      </c>
      <c r="C47" s="1269"/>
      <c r="D47" s="1270">
        <f>SUM(D35:D45)</f>
        <v>1237574</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E987D-68A3-4F62-A79F-BD1A83BB550E}">
  <dimension ref="B1:N152"/>
  <sheetViews>
    <sheetView showGridLines="0" zoomScaleNormal="100" workbookViewId="0">
      <selection activeCell="B22" sqref="B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Kankakee Area Spec Educ Coop</v>
      </c>
      <c r="C1" s="2464"/>
      <c r="D1" s="2464"/>
      <c r="E1" s="2464"/>
      <c r="F1" s="2464"/>
      <c r="G1" s="2464"/>
      <c r="H1" s="2464"/>
      <c r="I1" s="2464"/>
      <c r="J1" s="2464"/>
      <c r="K1" s="2464"/>
      <c r="L1" s="2464"/>
      <c r="M1" s="2464"/>
    </row>
    <row r="2" spans="2:14" ht="15" x14ac:dyDescent="0.2">
      <c r="B2" s="2465">
        <f>'Single Audit Cover'!E7</f>
        <v>32046850060</v>
      </c>
      <c r="C2" s="2465"/>
      <c r="D2" s="2465"/>
      <c r="E2" s="2465"/>
      <c r="F2" s="2465"/>
      <c r="G2" s="2465"/>
      <c r="H2" s="2465"/>
      <c r="I2" s="2465"/>
      <c r="J2" s="2465"/>
      <c r="K2" s="2465"/>
      <c r="L2" s="2465"/>
      <c r="M2" s="2465"/>
      <c r="N2" s="1299"/>
    </row>
    <row r="3" spans="2:14" ht="15" x14ac:dyDescent="0.2">
      <c r="B3" s="2466" t="s">
        <v>1219</v>
      </c>
      <c r="C3" s="2466"/>
      <c r="D3" s="2466"/>
      <c r="E3" s="2466"/>
      <c r="F3" s="2466"/>
      <c r="G3" s="2466"/>
      <c r="H3" s="2466"/>
      <c r="I3" s="2466"/>
      <c r="J3" s="2466"/>
      <c r="K3" s="2466"/>
      <c r="L3" s="2466"/>
      <c r="M3" s="2466"/>
      <c r="N3" s="1299"/>
    </row>
    <row r="4" spans="2:14" ht="15" x14ac:dyDescent="0.2">
      <c r="B4" s="2467" t="str">
        <f>'Single Audit Cover'!A4</f>
        <v>Year Ending June 30, 2019</v>
      </c>
      <c r="C4" s="2467"/>
      <c r="D4" s="2467"/>
      <c r="E4" s="2467"/>
      <c r="F4" s="2467"/>
      <c r="G4" s="2467"/>
      <c r="H4" s="2467"/>
      <c r="I4" s="2467"/>
      <c r="J4" s="2467"/>
      <c r="K4" s="2467"/>
      <c r="L4" s="2467"/>
      <c r="M4" s="246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2" t="s">
        <v>2147</v>
      </c>
      <c r="C11" s="1335"/>
      <c r="D11" s="1336"/>
      <c r="E11" s="1953"/>
      <c r="F11" s="1953"/>
      <c r="G11" s="1953"/>
      <c r="H11" s="1953"/>
      <c r="I11" s="1953"/>
      <c r="J11" s="1953"/>
      <c r="K11" s="1953"/>
      <c r="L11" s="1953"/>
      <c r="M11" s="1953"/>
    </row>
    <row r="12" spans="2:14" ht="20.100000000000001" customHeight="1" x14ac:dyDescent="0.2">
      <c r="B12" s="1956" t="s">
        <v>2146</v>
      </c>
      <c r="C12" s="1338"/>
      <c r="D12" s="1339"/>
      <c r="E12" s="1949"/>
      <c r="F12" s="1949"/>
      <c r="G12" s="1949"/>
      <c r="H12" s="1949"/>
      <c r="I12" s="1949"/>
      <c r="J12" s="1949"/>
      <c r="K12" s="1949"/>
      <c r="L12" s="1953"/>
      <c r="M12" s="1949"/>
    </row>
    <row r="13" spans="2:14" ht="20.100000000000001" customHeight="1" x14ac:dyDescent="0.2">
      <c r="B13" s="1961" t="s">
        <v>2145</v>
      </c>
      <c r="C13" s="1338"/>
      <c r="D13" s="1339"/>
      <c r="E13" s="1949"/>
      <c r="F13" s="1949"/>
      <c r="G13" s="1949"/>
      <c r="H13" s="1949"/>
      <c r="I13" s="1949"/>
      <c r="J13" s="1949"/>
      <c r="K13" s="1949"/>
      <c r="L13" s="1953"/>
      <c r="M13" s="1949"/>
    </row>
    <row r="14" spans="2:14" ht="20.100000000000001" customHeight="1" x14ac:dyDescent="0.2">
      <c r="B14" s="1960" t="s">
        <v>2143</v>
      </c>
      <c r="C14" s="1338">
        <v>84.027000000000001</v>
      </c>
      <c r="D14" s="1339" t="s">
        <v>2144</v>
      </c>
      <c r="E14" s="1949">
        <v>789009</v>
      </c>
      <c r="F14" s="1949">
        <v>417861</v>
      </c>
      <c r="G14" s="1949">
        <v>1186382</v>
      </c>
      <c r="H14" s="1949">
        <v>714300</v>
      </c>
      <c r="I14" s="1949">
        <v>20488</v>
      </c>
      <c r="J14" s="1949">
        <v>390917</v>
      </c>
      <c r="K14" s="1949">
        <v>0</v>
      </c>
      <c r="L14" s="1953">
        <f t="shared" ref="L14:L21" si="0">+G14+I14+K14</f>
        <v>1206870</v>
      </c>
      <c r="M14" s="1949">
        <v>1210988</v>
      </c>
    </row>
    <row r="15" spans="2:14" ht="20.100000000000001" customHeight="1" x14ac:dyDescent="0.2">
      <c r="B15" s="1960" t="s">
        <v>2143</v>
      </c>
      <c r="C15" s="1338">
        <v>84.027000000000001</v>
      </c>
      <c r="D15" s="1339" t="s">
        <v>2142</v>
      </c>
      <c r="E15" s="1949">
        <v>0</v>
      </c>
      <c r="F15" s="1949">
        <v>737738</v>
      </c>
      <c r="G15" s="1949">
        <v>0</v>
      </c>
      <c r="H15" s="1949">
        <v>0</v>
      </c>
      <c r="I15" s="1949">
        <v>1043712</v>
      </c>
      <c r="J15" s="1949">
        <v>661232</v>
      </c>
      <c r="K15" s="1949">
        <v>0</v>
      </c>
      <c r="L15" s="1953">
        <f t="shared" si="0"/>
        <v>1043712</v>
      </c>
      <c r="M15" s="1949">
        <v>1121068</v>
      </c>
    </row>
    <row r="16" spans="2:14" ht="20.100000000000001" customHeight="1" x14ac:dyDescent="0.2">
      <c r="B16" s="1959" t="s">
        <v>2141</v>
      </c>
      <c r="C16" s="1338"/>
      <c r="D16" s="1339"/>
      <c r="E16" s="1958">
        <f t="shared" ref="E16:K16" si="1">SUBTOTAL(9,E14:E15)</f>
        <v>789009</v>
      </c>
      <c r="F16" s="1958">
        <f t="shared" si="1"/>
        <v>1155599</v>
      </c>
      <c r="G16" s="1958">
        <f t="shared" si="1"/>
        <v>1186382</v>
      </c>
      <c r="H16" s="1958">
        <f t="shared" si="1"/>
        <v>714300</v>
      </c>
      <c r="I16" s="1958">
        <f t="shared" si="1"/>
        <v>1064200</v>
      </c>
      <c r="J16" s="1958">
        <f t="shared" si="1"/>
        <v>1052149</v>
      </c>
      <c r="K16" s="1958">
        <f t="shared" si="1"/>
        <v>0</v>
      </c>
      <c r="L16" s="1957">
        <f t="shared" si="0"/>
        <v>2250582</v>
      </c>
      <c r="M16" s="1949"/>
    </row>
    <row r="17" spans="2:14" ht="20.100000000000001" customHeight="1" x14ac:dyDescent="0.2">
      <c r="B17" s="1960" t="s">
        <v>2139</v>
      </c>
      <c r="C17" s="1338">
        <v>84.173000000000002</v>
      </c>
      <c r="D17" s="1339" t="s">
        <v>2140</v>
      </c>
      <c r="E17" s="1949">
        <v>43819</v>
      </c>
      <c r="F17" s="1949">
        <v>37924</v>
      </c>
      <c r="G17" s="1949">
        <v>73515</v>
      </c>
      <c r="H17" s="1949">
        <v>43819</v>
      </c>
      <c r="I17" s="1949">
        <v>8228</v>
      </c>
      <c r="J17" s="1949">
        <v>37924</v>
      </c>
      <c r="K17" s="1949">
        <v>0</v>
      </c>
      <c r="L17" s="1953">
        <f t="shared" si="0"/>
        <v>81743</v>
      </c>
      <c r="M17" s="1949">
        <v>96958</v>
      </c>
    </row>
    <row r="18" spans="2:14" ht="20.100000000000001" customHeight="1" x14ac:dyDescent="0.2">
      <c r="B18" s="1960" t="s">
        <v>2139</v>
      </c>
      <c r="C18" s="1338">
        <v>84.173000000000002</v>
      </c>
      <c r="D18" s="1339" t="s">
        <v>2138</v>
      </c>
      <c r="E18" s="1949">
        <v>0</v>
      </c>
      <c r="F18" s="1949">
        <v>30822</v>
      </c>
      <c r="G18" s="1949">
        <v>0</v>
      </c>
      <c r="H18" s="1949">
        <v>0</v>
      </c>
      <c r="I18" s="1949">
        <v>57111</v>
      </c>
      <c r="J18" s="1949">
        <v>30822</v>
      </c>
      <c r="K18" s="1949">
        <v>1847</v>
      </c>
      <c r="L18" s="1953">
        <f t="shared" si="0"/>
        <v>58958</v>
      </c>
      <c r="M18" s="1949">
        <v>65859</v>
      </c>
    </row>
    <row r="19" spans="2:14" ht="20.100000000000001" customHeight="1" x14ac:dyDescent="0.2">
      <c r="B19" s="1959" t="s">
        <v>2137</v>
      </c>
      <c r="C19" s="1338"/>
      <c r="D19" s="1339"/>
      <c r="E19" s="1958">
        <f t="shared" ref="E19:K19" si="2">SUBTOTAL(9,E17:E18)</f>
        <v>43819</v>
      </c>
      <c r="F19" s="1958">
        <f t="shared" si="2"/>
        <v>68746</v>
      </c>
      <c r="G19" s="1958">
        <f t="shared" si="2"/>
        <v>73515</v>
      </c>
      <c r="H19" s="1958">
        <f t="shared" si="2"/>
        <v>43819</v>
      </c>
      <c r="I19" s="1958">
        <f t="shared" si="2"/>
        <v>65339</v>
      </c>
      <c r="J19" s="1958">
        <f t="shared" si="2"/>
        <v>68746</v>
      </c>
      <c r="K19" s="1958">
        <f t="shared" si="2"/>
        <v>1847</v>
      </c>
      <c r="L19" s="1957">
        <f t="shared" si="0"/>
        <v>140701</v>
      </c>
      <c r="M19" s="1949"/>
    </row>
    <row r="20" spans="2:14" ht="20.100000000000001" customHeight="1" x14ac:dyDescent="0.2">
      <c r="B20" s="1959" t="s">
        <v>2136</v>
      </c>
      <c r="C20" s="1338"/>
      <c r="D20" s="1339"/>
      <c r="E20" s="1958">
        <f t="shared" ref="E20:K20" si="3">SUBTOTAL(9,E13:E19)</f>
        <v>832828</v>
      </c>
      <c r="F20" s="1958">
        <f t="shared" si="3"/>
        <v>1224345</v>
      </c>
      <c r="G20" s="1958">
        <f t="shared" si="3"/>
        <v>1259897</v>
      </c>
      <c r="H20" s="1958">
        <f t="shared" si="3"/>
        <v>758119</v>
      </c>
      <c r="I20" s="1958">
        <f t="shared" si="3"/>
        <v>1129539</v>
      </c>
      <c r="J20" s="1958">
        <f t="shared" si="3"/>
        <v>1120895</v>
      </c>
      <c r="K20" s="1958">
        <f t="shared" si="3"/>
        <v>1847</v>
      </c>
      <c r="L20" s="1957">
        <f t="shared" si="0"/>
        <v>2391283</v>
      </c>
      <c r="M20" s="1949"/>
    </row>
    <row r="21" spans="2:14" ht="20.100000000000001" customHeight="1" x14ac:dyDescent="0.2">
      <c r="B21" s="1956" t="s">
        <v>2135</v>
      </c>
      <c r="C21" s="1338"/>
      <c r="D21" s="1339"/>
      <c r="E21" s="1955">
        <f t="shared" ref="E21:K21" si="4">SUBTOTAL(9,E12:E20)</f>
        <v>832828</v>
      </c>
      <c r="F21" s="1955">
        <f t="shared" si="4"/>
        <v>1224345</v>
      </c>
      <c r="G21" s="1955">
        <f t="shared" si="4"/>
        <v>1259897</v>
      </c>
      <c r="H21" s="1955">
        <f t="shared" si="4"/>
        <v>758119</v>
      </c>
      <c r="I21" s="1955">
        <f t="shared" si="4"/>
        <v>1129539</v>
      </c>
      <c r="J21" s="1955">
        <f t="shared" si="4"/>
        <v>1120895</v>
      </c>
      <c r="K21" s="1955">
        <f t="shared" si="4"/>
        <v>1847</v>
      </c>
      <c r="L21" s="1954">
        <f t="shared" si="0"/>
        <v>2391283</v>
      </c>
      <c r="M21" s="1949"/>
    </row>
    <row r="22" spans="2:14" ht="20.100000000000001" customHeight="1" x14ac:dyDescent="0.2">
      <c r="B22" s="1334"/>
      <c r="C22" s="1338"/>
      <c r="D22" s="1339"/>
      <c r="E22" s="1949"/>
      <c r="F22" s="1949"/>
      <c r="G22" s="1949"/>
      <c r="H22" s="1949"/>
      <c r="I22" s="1949"/>
      <c r="J22" s="1949"/>
      <c r="K22" s="1949"/>
      <c r="L22" s="1953"/>
      <c r="M22" s="1949"/>
    </row>
    <row r="23" spans="2:14" ht="20.100000000000001" customHeight="1" x14ac:dyDescent="0.2">
      <c r="B23" s="1952" t="s">
        <v>2134</v>
      </c>
      <c r="C23" s="1338"/>
      <c r="D23" s="1339"/>
      <c r="E23" s="1951">
        <f t="shared" ref="E23:K23" si="5">SUBTOTAL(9,E11:E22)</f>
        <v>832828</v>
      </c>
      <c r="F23" s="1951">
        <f t="shared" si="5"/>
        <v>1224345</v>
      </c>
      <c r="G23" s="1951">
        <f t="shared" si="5"/>
        <v>1259897</v>
      </c>
      <c r="H23" s="1951">
        <f t="shared" si="5"/>
        <v>758119</v>
      </c>
      <c r="I23" s="1951">
        <f t="shared" si="5"/>
        <v>1129539</v>
      </c>
      <c r="J23" s="1951">
        <f t="shared" si="5"/>
        <v>1120895</v>
      </c>
      <c r="K23" s="1951">
        <f t="shared" si="5"/>
        <v>1847</v>
      </c>
      <c r="L23" s="1950">
        <f>+G23+I23+K23</f>
        <v>2391283</v>
      </c>
      <c r="M23" s="1949"/>
    </row>
    <row r="24" spans="2:14" ht="20.100000000000001" customHeight="1" x14ac:dyDescent="0.2">
      <c r="B24" s="1334"/>
      <c r="C24" s="1338"/>
      <c r="D24" s="1339"/>
      <c r="E24" s="1340"/>
      <c r="F24" s="1340"/>
      <c r="G24" s="1340"/>
      <c r="H24" s="1340"/>
      <c r="I24" s="1340"/>
      <c r="J24" s="1340"/>
      <c r="K24" s="1340"/>
      <c r="L24" s="1337">
        <f t="shared" ref="L24:L27" si="6">+G24+I24+K24</f>
        <v>0</v>
      </c>
      <c r="M24" s="1340"/>
    </row>
    <row r="25" spans="2:14" ht="20.100000000000001" customHeight="1" x14ac:dyDescent="0.2">
      <c r="B25" s="1334"/>
      <c r="C25" s="1338"/>
      <c r="D25" s="1339"/>
      <c r="E25" s="1340"/>
      <c r="F25" s="1340"/>
      <c r="G25" s="1340"/>
      <c r="H25" s="1340"/>
      <c r="I25" s="1340"/>
      <c r="J25" s="1340"/>
      <c r="K25" s="1340"/>
      <c r="L25" s="1337">
        <f t="shared" si="6"/>
        <v>0</v>
      </c>
      <c r="M25" s="1340"/>
    </row>
    <row r="26" spans="2:14" ht="20.100000000000001" customHeight="1" x14ac:dyDescent="0.2">
      <c r="B26" s="1334"/>
      <c r="C26" s="1338"/>
      <c r="D26" s="1339"/>
      <c r="E26" s="1340"/>
      <c r="F26" s="1340"/>
      <c r="G26" s="1340"/>
      <c r="H26" s="1340"/>
      <c r="I26" s="1340"/>
      <c r="J26" s="1340"/>
      <c r="K26" s="1340"/>
      <c r="L26" s="1337">
        <f t="shared" si="6"/>
        <v>0</v>
      </c>
      <c r="M26" s="1340"/>
    </row>
    <row r="27" spans="2:14" ht="20.100000000000001" customHeight="1" x14ac:dyDescent="0.2">
      <c r="B27" s="1334"/>
      <c r="C27" s="1338"/>
      <c r="D27" s="1339"/>
      <c r="E27" s="1340"/>
      <c r="F27" s="1340"/>
      <c r="G27" s="1340"/>
      <c r="H27" s="1340"/>
      <c r="I27" s="1340"/>
      <c r="J27" s="1340"/>
      <c r="K27" s="1340"/>
      <c r="L27" s="1337">
        <f t="shared" si="6"/>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DB150-51D8-4E88-AF95-D601DD62C27D}">
  <dimension ref="B1:N152"/>
  <sheetViews>
    <sheetView showGridLines="0" zoomScaleNormal="100" workbookViewId="0">
      <selection activeCell="L26" sqref="L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Kankakee Area Spec Educ Coop</v>
      </c>
      <c r="C1" s="2464"/>
      <c r="D1" s="2464"/>
      <c r="E1" s="2464"/>
      <c r="F1" s="2464"/>
      <c r="G1" s="2464"/>
      <c r="H1" s="2464"/>
      <c r="I1" s="2464"/>
      <c r="J1" s="2464"/>
      <c r="K1" s="2464"/>
      <c r="L1" s="2464"/>
      <c r="M1" s="2464"/>
    </row>
    <row r="2" spans="2:14" ht="15" x14ac:dyDescent="0.2">
      <c r="B2" s="2465">
        <f>'Single Audit Cover'!E7</f>
        <v>32046850060</v>
      </c>
      <c r="C2" s="2465"/>
      <c r="D2" s="2465"/>
      <c r="E2" s="2465"/>
      <c r="F2" s="2465"/>
      <c r="G2" s="2465"/>
      <c r="H2" s="2465"/>
      <c r="I2" s="2465"/>
      <c r="J2" s="2465"/>
      <c r="K2" s="2465"/>
      <c r="L2" s="2465"/>
      <c r="M2" s="2465"/>
      <c r="N2" s="1299"/>
    </row>
    <row r="3" spans="2:14" ht="15" x14ac:dyDescent="0.2">
      <c r="B3" s="2466" t="s">
        <v>1219</v>
      </c>
      <c r="C3" s="2466"/>
      <c r="D3" s="2466"/>
      <c r="E3" s="2466"/>
      <c r="F3" s="2466"/>
      <c r="G3" s="2466"/>
      <c r="H3" s="2466"/>
      <c r="I3" s="2466"/>
      <c r="J3" s="2466"/>
      <c r="K3" s="2466"/>
      <c r="L3" s="2466"/>
      <c r="M3" s="2466"/>
      <c r="N3" s="1299"/>
    </row>
    <row r="4" spans="2:14" ht="15" x14ac:dyDescent="0.2">
      <c r="B4" s="2467" t="str">
        <f>'Single Audit Cover'!A4</f>
        <v>Year Ending June 30, 2019</v>
      </c>
      <c r="C4" s="2467"/>
      <c r="D4" s="2467"/>
      <c r="E4" s="2467"/>
      <c r="F4" s="2467"/>
      <c r="G4" s="2467"/>
      <c r="H4" s="2467"/>
      <c r="I4" s="2467"/>
      <c r="J4" s="2467"/>
      <c r="K4" s="2467"/>
      <c r="L4" s="2467"/>
      <c r="M4" s="246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2" t="s">
        <v>2161</v>
      </c>
      <c r="C11" s="1335"/>
      <c r="D11" s="1336"/>
      <c r="E11" s="1337"/>
      <c r="F11" s="1337"/>
      <c r="G11" s="1337"/>
      <c r="H11" s="1337"/>
      <c r="I11" s="1337"/>
      <c r="J11" s="1337"/>
      <c r="K11" s="1337"/>
      <c r="L11" s="1337">
        <f t="shared" ref="L11:L26" si="0">+G11+I11+K11</f>
        <v>0</v>
      </c>
      <c r="M11" s="1337"/>
    </row>
    <row r="12" spans="2:14" ht="20.100000000000001" customHeight="1" x14ac:dyDescent="0.2">
      <c r="B12" s="1956" t="s">
        <v>2146</v>
      </c>
      <c r="C12" s="1338"/>
      <c r="D12" s="1967"/>
      <c r="E12" s="1340"/>
      <c r="F12" s="1340"/>
      <c r="G12" s="1340"/>
      <c r="H12" s="1340"/>
      <c r="I12" s="1340"/>
      <c r="J12" s="1340"/>
      <c r="K12" s="1340"/>
      <c r="L12" s="1337">
        <f t="shared" si="0"/>
        <v>0</v>
      </c>
      <c r="M12" s="1340"/>
    </row>
    <row r="13" spans="2:14" ht="20.100000000000001" customHeight="1" x14ac:dyDescent="0.2">
      <c r="B13" s="1961" t="s">
        <v>2160</v>
      </c>
      <c r="C13" s="1338"/>
      <c r="D13" s="1967"/>
      <c r="E13" s="1340"/>
      <c r="F13" s="1340"/>
      <c r="G13" s="1340"/>
      <c r="H13" s="1340"/>
      <c r="I13" s="1340"/>
      <c r="J13" s="1340"/>
      <c r="K13" s="1340"/>
      <c r="L13" s="1337">
        <f t="shared" si="0"/>
        <v>0</v>
      </c>
      <c r="M13" s="1340"/>
    </row>
    <row r="14" spans="2:14" ht="20.100000000000001" customHeight="1" x14ac:dyDescent="0.2">
      <c r="B14" s="1960" t="s">
        <v>2159</v>
      </c>
      <c r="C14" s="1338">
        <v>10.555</v>
      </c>
      <c r="D14" s="1967" t="s">
        <v>2158</v>
      </c>
      <c r="E14" s="1340">
        <v>0</v>
      </c>
      <c r="F14" s="1340">
        <v>748</v>
      </c>
      <c r="G14" s="1340">
        <v>0</v>
      </c>
      <c r="H14" s="1340">
        <v>0</v>
      </c>
      <c r="I14" s="1340">
        <v>748</v>
      </c>
      <c r="J14" s="1340">
        <v>0</v>
      </c>
      <c r="K14" s="1340">
        <v>0</v>
      </c>
      <c r="L14" s="1337">
        <f t="shared" si="0"/>
        <v>748</v>
      </c>
      <c r="M14" s="1340"/>
    </row>
    <row r="15" spans="2:14" ht="20.100000000000001" customHeight="1" x14ac:dyDescent="0.2">
      <c r="B15" s="1959" t="s">
        <v>2157</v>
      </c>
      <c r="C15" s="1338"/>
      <c r="D15" s="1339"/>
      <c r="E15" s="1971">
        <f t="shared" ref="E15:K15" si="1">SUBTOTAL(9,E14)</f>
        <v>0</v>
      </c>
      <c r="F15" s="1971">
        <f t="shared" si="1"/>
        <v>748</v>
      </c>
      <c r="G15" s="1971">
        <f t="shared" si="1"/>
        <v>0</v>
      </c>
      <c r="H15" s="1971">
        <f t="shared" si="1"/>
        <v>0</v>
      </c>
      <c r="I15" s="1971">
        <f t="shared" si="1"/>
        <v>748</v>
      </c>
      <c r="J15" s="1971">
        <f t="shared" si="1"/>
        <v>0</v>
      </c>
      <c r="K15" s="1971">
        <f t="shared" si="1"/>
        <v>0</v>
      </c>
      <c r="L15" s="1970">
        <f t="shared" si="0"/>
        <v>748</v>
      </c>
      <c r="M15" s="1340"/>
    </row>
    <row r="16" spans="2:14" ht="20.100000000000001" customHeight="1" x14ac:dyDescent="0.2">
      <c r="B16" s="1956" t="s">
        <v>2135</v>
      </c>
      <c r="C16" s="1338"/>
      <c r="D16" s="1339"/>
      <c r="E16" s="1966">
        <f t="shared" ref="E16:K16" si="2">SUBTOTAL(9,E13:E15)</f>
        <v>0</v>
      </c>
      <c r="F16" s="1966">
        <f t="shared" si="2"/>
        <v>748</v>
      </c>
      <c r="G16" s="1966">
        <f t="shared" si="2"/>
        <v>0</v>
      </c>
      <c r="H16" s="1966">
        <f t="shared" si="2"/>
        <v>0</v>
      </c>
      <c r="I16" s="1966">
        <f t="shared" si="2"/>
        <v>748</v>
      </c>
      <c r="J16" s="1966">
        <f t="shared" si="2"/>
        <v>0</v>
      </c>
      <c r="K16" s="1966">
        <f t="shared" si="2"/>
        <v>0</v>
      </c>
      <c r="L16" s="1969">
        <f t="shared" si="0"/>
        <v>748</v>
      </c>
      <c r="M16" s="1340"/>
    </row>
    <row r="17" spans="2:14" ht="20.100000000000001" customHeight="1" x14ac:dyDescent="0.2">
      <c r="B17" s="1952" t="s">
        <v>2156</v>
      </c>
      <c r="C17" s="1338"/>
      <c r="D17" s="1339"/>
      <c r="E17" s="1965">
        <f t="shared" ref="E17:K17" si="3">SUBTOTAL(9,E12:E16)</f>
        <v>0</v>
      </c>
      <c r="F17" s="1965">
        <f t="shared" si="3"/>
        <v>748</v>
      </c>
      <c r="G17" s="1965">
        <f t="shared" si="3"/>
        <v>0</v>
      </c>
      <c r="H17" s="1965">
        <f t="shared" si="3"/>
        <v>0</v>
      </c>
      <c r="I17" s="1965">
        <f t="shared" si="3"/>
        <v>748</v>
      </c>
      <c r="J17" s="1965">
        <f t="shared" si="3"/>
        <v>0</v>
      </c>
      <c r="K17" s="1965">
        <f t="shared" si="3"/>
        <v>0</v>
      </c>
      <c r="L17" s="1968">
        <f t="shared" si="0"/>
        <v>748</v>
      </c>
      <c r="M17" s="1340"/>
    </row>
    <row r="18" spans="2:14" ht="20.100000000000001" customHeight="1" x14ac:dyDescent="0.2">
      <c r="B18" s="1964"/>
      <c r="C18" s="1338"/>
      <c r="D18" s="1339"/>
      <c r="E18" s="1963"/>
      <c r="F18" s="1963"/>
      <c r="G18" s="1963"/>
      <c r="H18" s="1963"/>
      <c r="I18" s="1963"/>
      <c r="J18" s="1963"/>
      <c r="K18" s="1963"/>
      <c r="L18" s="1337">
        <f t="shared" si="0"/>
        <v>0</v>
      </c>
      <c r="M18" s="1340"/>
    </row>
    <row r="19" spans="2:14" ht="20.100000000000001" customHeight="1" x14ac:dyDescent="0.2">
      <c r="B19" s="1952" t="s">
        <v>2155</v>
      </c>
      <c r="C19" s="1335"/>
      <c r="D19" s="1336"/>
      <c r="E19" s="1337"/>
      <c r="F19" s="1337"/>
      <c r="G19" s="1337"/>
      <c r="H19" s="1337"/>
      <c r="I19" s="1337"/>
      <c r="J19" s="1337"/>
      <c r="K19" s="1337"/>
      <c r="L19" s="1337">
        <f t="shared" si="0"/>
        <v>0</v>
      </c>
      <c r="M19" s="1340"/>
    </row>
    <row r="20" spans="2:14" ht="20.100000000000001" customHeight="1" x14ac:dyDescent="0.2">
      <c r="B20" s="1956" t="s">
        <v>2154</v>
      </c>
      <c r="C20" s="1338"/>
      <c r="D20" s="1967"/>
      <c r="E20" s="1340"/>
      <c r="F20" s="1340"/>
      <c r="G20" s="1340"/>
      <c r="H20" s="1340"/>
      <c r="I20" s="1340"/>
      <c r="J20" s="1340"/>
      <c r="K20" s="1340"/>
      <c r="L20" s="1337">
        <f t="shared" si="0"/>
        <v>0</v>
      </c>
      <c r="M20" s="1340"/>
    </row>
    <row r="21" spans="2:14" ht="20.100000000000001" customHeight="1" x14ac:dyDescent="0.2">
      <c r="B21" s="1334" t="s">
        <v>2152</v>
      </c>
      <c r="C21" s="1338">
        <v>93.778000000000006</v>
      </c>
      <c r="D21" s="1967" t="s">
        <v>2153</v>
      </c>
      <c r="E21" s="1340">
        <v>8323</v>
      </c>
      <c r="F21" s="1340">
        <v>3617</v>
      </c>
      <c r="G21" s="1340">
        <v>11940</v>
      </c>
      <c r="H21" s="1340">
        <v>0</v>
      </c>
      <c r="I21" s="1340">
        <v>0</v>
      </c>
      <c r="J21" s="1340">
        <v>0</v>
      </c>
      <c r="K21" s="1340">
        <v>0</v>
      </c>
      <c r="L21" s="1337">
        <f t="shared" si="0"/>
        <v>11940</v>
      </c>
      <c r="M21" s="1340"/>
    </row>
    <row r="22" spans="2:14" ht="20.100000000000001" customHeight="1" x14ac:dyDescent="0.2">
      <c r="B22" s="1334" t="s">
        <v>2152</v>
      </c>
      <c r="C22" s="1338">
        <v>93.778000000000006</v>
      </c>
      <c r="D22" s="1967" t="s">
        <v>2151</v>
      </c>
      <c r="E22" s="1340">
        <v>0</v>
      </c>
      <c r="F22" s="1340">
        <v>8864</v>
      </c>
      <c r="G22" s="1340">
        <v>0</v>
      </c>
      <c r="H22" s="1340">
        <v>0</v>
      </c>
      <c r="I22" s="1340">
        <v>11827</v>
      </c>
      <c r="J22" s="1340">
        <v>0</v>
      </c>
      <c r="K22" s="1340">
        <v>0</v>
      </c>
      <c r="L22" s="1337">
        <f t="shared" si="0"/>
        <v>11827</v>
      </c>
      <c r="M22" s="1340"/>
    </row>
    <row r="23" spans="2:14" ht="20.100000000000001" customHeight="1" x14ac:dyDescent="0.2">
      <c r="B23" s="1956" t="s">
        <v>2150</v>
      </c>
      <c r="C23" s="1338"/>
      <c r="D23" s="1339"/>
      <c r="E23" s="1966">
        <f t="shared" ref="E23:K23" si="4">SUBTOTAL(9,E20:E22)</f>
        <v>8323</v>
      </c>
      <c r="F23" s="1966">
        <f t="shared" si="4"/>
        <v>12481</v>
      </c>
      <c r="G23" s="1966">
        <f t="shared" si="4"/>
        <v>11940</v>
      </c>
      <c r="H23" s="1966">
        <f t="shared" si="4"/>
        <v>0</v>
      </c>
      <c r="I23" s="1966">
        <f t="shared" si="4"/>
        <v>11827</v>
      </c>
      <c r="J23" s="1966">
        <f t="shared" si="4"/>
        <v>0</v>
      </c>
      <c r="K23" s="1966">
        <f t="shared" si="4"/>
        <v>0</v>
      </c>
      <c r="L23" s="1337">
        <f t="shared" si="0"/>
        <v>23767</v>
      </c>
      <c r="M23" s="1340"/>
    </row>
    <row r="24" spans="2:14" ht="20.100000000000001" customHeight="1" x14ac:dyDescent="0.2">
      <c r="B24" s="1952" t="s">
        <v>2149</v>
      </c>
      <c r="C24" s="1338"/>
      <c r="D24" s="1339"/>
      <c r="E24" s="1965">
        <f t="shared" ref="E24:K24" si="5">SUBTOTAL(9,E19:E23)</f>
        <v>8323</v>
      </c>
      <c r="F24" s="1965">
        <f t="shared" si="5"/>
        <v>12481</v>
      </c>
      <c r="G24" s="1965">
        <f t="shared" si="5"/>
        <v>11940</v>
      </c>
      <c r="H24" s="1965">
        <f t="shared" si="5"/>
        <v>0</v>
      </c>
      <c r="I24" s="1965">
        <f t="shared" si="5"/>
        <v>11827</v>
      </c>
      <c r="J24" s="1965">
        <f t="shared" si="5"/>
        <v>0</v>
      </c>
      <c r="K24" s="1965">
        <f t="shared" si="5"/>
        <v>0</v>
      </c>
      <c r="L24" s="1337">
        <f t="shared" si="0"/>
        <v>23767</v>
      </c>
      <c r="M24" s="1340"/>
    </row>
    <row r="25" spans="2:14" ht="20.100000000000001" customHeight="1" x14ac:dyDescent="0.2">
      <c r="B25" s="1960"/>
      <c r="C25" s="1338"/>
      <c r="D25" s="1339"/>
      <c r="E25" s="1340"/>
      <c r="F25" s="1340"/>
      <c r="G25" s="1340"/>
      <c r="H25" s="1340"/>
      <c r="I25" s="1340"/>
      <c r="J25" s="1340"/>
      <c r="K25" s="1340"/>
      <c r="L25" s="1337">
        <f t="shared" si="0"/>
        <v>0</v>
      </c>
      <c r="M25" s="1340"/>
    </row>
    <row r="26" spans="2:14" ht="20.100000000000001" customHeight="1" x14ac:dyDescent="0.2">
      <c r="B26" s="1964" t="s">
        <v>2148</v>
      </c>
      <c r="C26" s="1338"/>
      <c r="D26" s="1339"/>
      <c r="E26" s="1963">
        <v>841151</v>
      </c>
      <c r="F26" s="1963">
        <v>1237574</v>
      </c>
      <c r="G26" s="1963">
        <v>1271837</v>
      </c>
      <c r="H26" s="1963">
        <v>758119</v>
      </c>
      <c r="I26" s="1963">
        <v>1142114</v>
      </c>
      <c r="J26" s="1963">
        <v>1120895</v>
      </c>
      <c r="K26" s="1963">
        <v>1847</v>
      </c>
      <c r="L26" s="1962">
        <f t="shared" si="0"/>
        <v>2415798</v>
      </c>
      <c r="M26" s="1340"/>
    </row>
    <row r="27" spans="2:14" ht="20.100000000000001" customHeight="1" x14ac:dyDescent="0.2">
      <c r="B27" s="1334"/>
      <c r="C27" s="1338"/>
      <c r="D27" s="1339"/>
      <c r="E27" s="1340"/>
      <c r="F27" s="1340"/>
      <c r="G27" s="1340"/>
      <c r="H27" s="1340"/>
      <c r="I27" s="1340"/>
      <c r="J27" s="1340"/>
      <c r="K27" s="1340"/>
      <c r="L27" s="1337">
        <f t="shared" ref="L27" si="6">+G27+I27+K27</f>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B22" sqref="B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1168</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2080</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9" t="s">
        <v>1633</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9" t="s">
        <v>313</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1323</v>
      </c>
      <c r="B70" s="2102"/>
      <c r="C70" s="2102"/>
      <c r="D70" s="2102"/>
      <c r="E70" s="2103"/>
      <c r="F70" s="2103"/>
      <c r="G70" s="2103"/>
      <c r="H70" s="2103"/>
      <c r="I70" s="210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1320</v>
      </c>
      <c r="B83" s="2104"/>
      <c r="C83" s="2104"/>
      <c r="D83" s="210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6" t="s">
        <v>2081</v>
      </c>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c r="D114" s="209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1330</v>
      </c>
      <c r="D117" s="2097"/>
      <c r="E117" s="2098"/>
      <c r="F117" s="2098"/>
      <c r="G117" s="2098"/>
      <c r="H117" s="209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9" zoomScale="120" zoomScaleNormal="120" workbookViewId="0">
      <selection activeCell="B22" sqref="B2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Kankakee Area Spec Educ Coop</v>
      </c>
      <c r="B1" s="2469"/>
      <c r="C1" s="2469"/>
      <c r="D1" s="2469"/>
      <c r="E1" s="2469"/>
      <c r="F1" s="2469"/>
    </row>
    <row r="2" spans="1:7" ht="13.5" customHeight="1" x14ac:dyDescent="0.2">
      <c r="A2" s="2465">
        <f>'Single Audit Cover'!E7</f>
        <v>32046850060</v>
      </c>
      <c r="B2" s="2465"/>
      <c r="C2" s="2465"/>
      <c r="D2" s="2465"/>
      <c r="E2" s="2465"/>
      <c r="F2" s="2465"/>
      <c r="G2" s="1272"/>
    </row>
    <row r="3" spans="1:7" ht="15.75" customHeight="1" x14ac:dyDescent="0.2">
      <c r="A3" s="2470" t="s">
        <v>1271</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73" t="s">
        <v>1728</v>
      </c>
      <c r="C6" s="317"/>
      <c r="D6" s="317"/>
    </row>
    <row r="7" spans="1:7" ht="60.95" customHeight="1" x14ac:dyDescent="0.2">
      <c r="A7" s="2468" t="s">
        <v>2101</v>
      </c>
      <c r="B7" s="2468"/>
      <c r="C7" s="2468"/>
      <c r="D7" s="2468"/>
      <c r="E7" s="2468"/>
      <c r="F7" s="246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2080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68" t="s">
        <v>2100</v>
      </c>
      <c r="B13" s="2468"/>
      <c r="C13" s="2468"/>
      <c r="D13" s="2468"/>
      <c r="E13" s="2468"/>
      <c r="F13" s="2468"/>
    </row>
    <row r="14" spans="1:7" ht="9.75" customHeight="1" x14ac:dyDescent="0.2">
      <c r="C14" s="1257"/>
      <c r="D14" s="1257"/>
    </row>
    <row r="15" spans="1:7" ht="13.5" customHeight="1" x14ac:dyDescent="0.2">
      <c r="C15" s="1846" t="s">
        <v>1270</v>
      </c>
      <c r="D15" s="2473" t="s">
        <v>1269</v>
      </c>
      <c r="E15" s="2473"/>
      <c r="F15" s="2473"/>
    </row>
    <row r="16" spans="1:7" ht="13.5" customHeight="1" x14ac:dyDescent="0.2">
      <c r="A16" s="1279"/>
      <c r="B16" s="1273" t="s">
        <v>1268</v>
      </c>
      <c r="C16" s="1846" t="s">
        <v>1267</v>
      </c>
      <c r="D16" s="2474" t="s">
        <v>1588</v>
      </c>
      <c r="E16" s="2474"/>
      <c r="F16" s="2474"/>
    </row>
    <row r="17" spans="1:6" ht="20.45" customHeight="1" x14ac:dyDescent="0.2">
      <c r="A17" s="1280"/>
      <c r="B17" s="1281" t="s">
        <v>2090</v>
      </c>
      <c r="C17" s="1282"/>
      <c r="D17" s="2472"/>
      <c r="E17" s="2472"/>
      <c r="F17" s="2472"/>
    </row>
    <row r="18" spans="1:6" ht="20.65" customHeight="1" x14ac:dyDescent="0.2">
      <c r="A18" s="1280"/>
      <c r="B18" s="1281" t="s">
        <v>2091</v>
      </c>
      <c r="C18" s="1282">
        <v>84.027000000000001</v>
      </c>
      <c r="D18" s="2472">
        <v>279930</v>
      </c>
      <c r="E18" s="2472"/>
      <c r="F18" s="2472"/>
    </row>
    <row r="19" spans="1:6" ht="20.65" customHeight="1" x14ac:dyDescent="0.2">
      <c r="A19" s="1280"/>
      <c r="B19" s="1281" t="s">
        <v>2092</v>
      </c>
      <c r="C19" s="1282">
        <v>84.027000000000001</v>
      </c>
      <c r="D19" s="2472">
        <v>91703</v>
      </c>
      <c r="E19" s="2472"/>
      <c r="F19" s="2472"/>
    </row>
    <row r="20" spans="1:6" ht="20.65" customHeight="1" x14ac:dyDescent="0.2">
      <c r="A20" s="1280"/>
      <c r="B20" s="1281" t="s">
        <v>2093</v>
      </c>
      <c r="C20" s="1282">
        <v>84.027000000000001</v>
      </c>
      <c r="D20" s="2472">
        <v>384746</v>
      </c>
      <c r="E20" s="2472"/>
      <c r="F20" s="2472"/>
    </row>
    <row r="21" spans="1:6" ht="20.65" customHeight="1" x14ac:dyDescent="0.2">
      <c r="A21" s="1280"/>
      <c r="B21" s="1281" t="s">
        <v>2094</v>
      </c>
      <c r="C21" s="1282">
        <v>84.027000000000001</v>
      </c>
      <c r="D21" s="2472">
        <v>106257</v>
      </c>
      <c r="E21" s="2472"/>
      <c r="F21" s="2472"/>
    </row>
    <row r="22" spans="1:6" ht="20.65" customHeight="1" x14ac:dyDescent="0.2">
      <c r="A22" s="1280"/>
      <c r="B22" s="1281" t="s">
        <v>2095</v>
      </c>
      <c r="C22" s="1282">
        <v>84.027000000000001</v>
      </c>
      <c r="D22" s="2472">
        <v>67582</v>
      </c>
      <c r="E22" s="2472"/>
      <c r="F22" s="2472"/>
    </row>
    <row r="23" spans="1:6" ht="20.65" customHeight="1" x14ac:dyDescent="0.2">
      <c r="A23" s="1280"/>
      <c r="B23" s="1281" t="s">
        <v>2096</v>
      </c>
      <c r="C23" s="1282">
        <v>84.027000000000001</v>
      </c>
      <c r="D23" s="2472">
        <v>69819</v>
      </c>
      <c r="E23" s="2472"/>
      <c r="F23" s="2472"/>
    </row>
    <row r="24" spans="1:6" ht="20.65" customHeight="1" x14ac:dyDescent="0.2">
      <c r="A24" s="1280"/>
      <c r="B24" s="1281" t="s">
        <v>2097</v>
      </c>
      <c r="C24" s="1282">
        <v>84.027000000000001</v>
      </c>
      <c r="D24" s="2472">
        <v>52112</v>
      </c>
      <c r="E24" s="2472"/>
      <c r="F24" s="2472"/>
    </row>
    <row r="25" spans="1:6" ht="20.65" customHeight="1" x14ac:dyDescent="0.2">
      <c r="A25" s="1280"/>
      <c r="B25" s="1281" t="s">
        <v>2098</v>
      </c>
      <c r="C25" s="1282"/>
      <c r="D25" s="2472">
        <f>SUM(D18:F24)</f>
        <v>1052149</v>
      </c>
      <c r="E25" s="2472"/>
      <c r="F25" s="2472"/>
    </row>
    <row r="26" spans="1:6" ht="20.65" customHeight="1" x14ac:dyDescent="0.2">
      <c r="A26" s="1280"/>
      <c r="B26" s="1281"/>
      <c r="C26" s="1282"/>
      <c r="D26" s="2472"/>
      <c r="E26" s="2472"/>
      <c r="F26" s="2472"/>
    </row>
    <row r="27" spans="1:6" ht="20.65" customHeight="1" x14ac:dyDescent="0.2">
      <c r="A27" s="1280"/>
      <c r="B27" s="1281" t="s">
        <v>2099</v>
      </c>
      <c r="C27" s="1282"/>
      <c r="D27" s="2472"/>
      <c r="E27" s="2472"/>
      <c r="F27" s="2472"/>
    </row>
    <row r="28" spans="1:6" ht="20.65" customHeight="1" x14ac:dyDescent="0.2">
      <c r="A28" s="1280"/>
      <c r="B28" s="1281"/>
      <c r="C28" s="1282"/>
      <c r="D28" s="2472"/>
      <c r="E28" s="2472"/>
      <c r="F28" s="2472"/>
    </row>
    <row r="29" spans="1:6" ht="20.65" customHeight="1" x14ac:dyDescent="0.2">
      <c r="A29" s="1280"/>
      <c r="B29" s="1281"/>
      <c r="C29" s="1282"/>
      <c r="D29" s="2472"/>
      <c r="E29" s="2472"/>
      <c r="F29" s="247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76" t="s">
        <v>2130</v>
      </c>
      <c r="B32" s="2476"/>
      <c r="C32" s="2476"/>
      <c r="D32" s="2476"/>
      <c r="E32" s="2476"/>
      <c r="F32" s="2476"/>
    </row>
    <row r="33" spans="1:6" ht="13.5" customHeight="1" x14ac:dyDescent="0.2">
      <c r="A33" s="328" t="s">
        <v>1434</v>
      </c>
      <c r="B33" s="328"/>
      <c r="C33" s="1285">
        <f>' SEFA (2)'!I14</f>
        <v>748</v>
      </c>
      <c r="D33" s="1903"/>
      <c r="E33" s="1283"/>
    </row>
    <row r="34" spans="1:6" ht="13.5" customHeight="1" x14ac:dyDescent="0.2">
      <c r="A34" s="328" t="s">
        <v>1835</v>
      </c>
      <c r="B34" s="328"/>
      <c r="C34" s="1286">
        <v>0</v>
      </c>
      <c r="D34" s="1903" t="s">
        <v>1589</v>
      </c>
      <c r="E34" s="2477">
        <f>+C33+C34</f>
        <v>748</v>
      </c>
      <c r="F34" s="247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9" t="s">
        <v>1590</v>
      </c>
      <c r="C49" s="2479"/>
      <c r="D49" s="2479"/>
      <c r="E49" s="1396"/>
    </row>
    <row r="50" spans="1:5" s="1297" customFormat="1" ht="3.75" customHeight="1" x14ac:dyDescent="0.2">
      <c r="A50" s="1296"/>
      <c r="B50" s="1845"/>
      <c r="C50" s="1845"/>
      <c r="D50" s="1845"/>
      <c r="E50" s="1396"/>
    </row>
    <row r="51" spans="1:5" s="1297" customFormat="1" ht="20.25" customHeight="1" x14ac:dyDescent="0.2">
      <c r="A51" s="1298">
        <v>6</v>
      </c>
      <c r="B51" s="2475" t="s">
        <v>1551</v>
      </c>
      <c r="C51" s="2475"/>
      <c r="D51" s="2475"/>
    </row>
    <row r="52" spans="1:5" ht="14.25" customHeight="1" x14ac:dyDescent="0.2">
      <c r="A52" s="1298"/>
      <c r="B52" s="2475"/>
      <c r="C52" s="2475"/>
      <c r="D52" s="24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08BC3-CC80-48AD-8868-DABA1DEA22F2}">
  <sheetPr>
    <pageSetUpPr fitToPage="1"/>
  </sheetPr>
  <dimension ref="A1:G52"/>
  <sheetViews>
    <sheetView showGridLines="0" topLeftCell="A19" zoomScale="120" zoomScaleNormal="120" workbookViewId="0">
      <selection activeCell="B22" sqref="B2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Kankakee Area Spec Educ Coop</v>
      </c>
      <c r="B1" s="2469"/>
      <c r="C1" s="2469"/>
      <c r="D1" s="2469"/>
      <c r="E1" s="2469"/>
      <c r="F1" s="2469"/>
    </row>
    <row r="2" spans="1:7" ht="13.5" customHeight="1" x14ac:dyDescent="0.2">
      <c r="A2" s="2465">
        <f>'Single Audit Cover'!E7</f>
        <v>32046850060</v>
      </c>
      <c r="B2" s="2465"/>
      <c r="C2" s="2465"/>
      <c r="D2" s="2465"/>
      <c r="E2" s="2465"/>
      <c r="F2" s="2465"/>
      <c r="G2" s="1272"/>
    </row>
    <row r="3" spans="1:7" ht="15.75" customHeight="1" x14ac:dyDescent="0.2">
      <c r="A3" s="2470" t="s">
        <v>1271</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73" t="s">
        <v>1728</v>
      </c>
      <c r="C6" s="317"/>
      <c r="D6" s="317"/>
    </row>
    <row r="7" spans="1:7" ht="60.95" customHeight="1" x14ac:dyDescent="0.2">
      <c r="A7" s="2468" t="s">
        <v>2101</v>
      </c>
      <c r="B7" s="2468"/>
      <c r="C7" s="2468"/>
      <c r="D7" s="2468"/>
      <c r="E7" s="2468"/>
      <c r="F7" s="246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2080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68" t="s">
        <v>2100</v>
      </c>
      <c r="B13" s="2468"/>
      <c r="C13" s="2468"/>
      <c r="D13" s="2468"/>
      <c r="E13" s="2468"/>
      <c r="F13" s="2468"/>
    </row>
    <row r="14" spans="1:7" ht="9.75" customHeight="1" x14ac:dyDescent="0.2">
      <c r="C14" s="1257"/>
      <c r="D14" s="1257"/>
    </row>
    <row r="15" spans="1:7" ht="13.5" customHeight="1" x14ac:dyDescent="0.2">
      <c r="C15" s="1937" t="s">
        <v>1270</v>
      </c>
      <c r="D15" s="2473" t="s">
        <v>1269</v>
      </c>
      <c r="E15" s="2473"/>
      <c r="F15" s="2473"/>
    </row>
    <row r="16" spans="1:7" ht="13.5" customHeight="1" x14ac:dyDescent="0.2">
      <c r="A16" s="1279"/>
      <c r="B16" s="1273" t="s">
        <v>1268</v>
      </c>
      <c r="C16" s="1937" t="s">
        <v>1267</v>
      </c>
      <c r="D16" s="2474" t="s">
        <v>1588</v>
      </c>
      <c r="E16" s="2474"/>
      <c r="F16" s="2474"/>
    </row>
    <row r="17" spans="1:6" ht="20.45" customHeight="1" x14ac:dyDescent="0.2">
      <c r="A17" s="1280"/>
      <c r="B17" s="1281" t="s">
        <v>2102</v>
      </c>
      <c r="C17" s="1282"/>
      <c r="D17" s="2472"/>
      <c r="E17" s="2472"/>
      <c r="F17" s="2472"/>
    </row>
    <row r="18" spans="1:6" ht="20.65" customHeight="1" x14ac:dyDescent="0.2">
      <c r="A18" s="1280"/>
      <c r="B18" s="1281" t="s">
        <v>2103</v>
      </c>
      <c r="C18" s="1282"/>
      <c r="D18" s="2472"/>
      <c r="E18" s="2472"/>
      <c r="F18" s="2472"/>
    </row>
    <row r="19" spans="1:6" ht="20.65" customHeight="1" x14ac:dyDescent="0.2">
      <c r="A19" s="1280"/>
      <c r="B19" s="1281" t="s">
        <v>2091</v>
      </c>
      <c r="C19" s="1282">
        <v>84.173000000000002</v>
      </c>
      <c r="D19" s="2472">
        <v>24142</v>
      </c>
      <c r="E19" s="2472"/>
      <c r="F19" s="2472"/>
    </row>
    <row r="20" spans="1:6" ht="20.65" customHeight="1" x14ac:dyDescent="0.2">
      <c r="A20" s="1280"/>
      <c r="B20" s="1281" t="s">
        <v>2092</v>
      </c>
      <c r="C20" s="1282">
        <v>84.173000000000002</v>
      </c>
      <c r="D20" s="2472">
        <v>1946</v>
      </c>
      <c r="E20" s="2472"/>
      <c r="F20" s="2472"/>
    </row>
    <row r="21" spans="1:6" ht="20.65" customHeight="1" x14ac:dyDescent="0.2">
      <c r="A21" s="1280"/>
      <c r="B21" s="1281" t="s">
        <v>2093</v>
      </c>
      <c r="C21" s="1282">
        <v>84.173000000000002</v>
      </c>
      <c r="D21" s="2472">
        <v>24888</v>
      </c>
      <c r="E21" s="2472"/>
      <c r="F21" s="2472"/>
    </row>
    <row r="22" spans="1:6" ht="20.65" customHeight="1" x14ac:dyDescent="0.2">
      <c r="A22" s="1280"/>
      <c r="B22" s="1281" t="s">
        <v>2094</v>
      </c>
      <c r="C22" s="1282">
        <v>84.173000000000002</v>
      </c>
      <c r="D22" s="2472">
        <v>8846</v>
      </c>
      <c r="E22" s="2472"/>
      <c r="F22" s="2472"/>
    </row>
    <row r="23" spans="1:6" ht="20.65" customHeight="1" x14ac:dyDescent="0.2">
      <c r="A23" s="1280"/>
      <c r="B23" s="1281" t="s">
        <v>2095</v>
      </c>
      <c r="C23" s="1282">
        <v>84.173000000000002</v>
      </c>
      <c r="D23" s="2472">
        <v>132</v>
      </c>
      <c r="E23" s="2472"/>
      <c r="F23" s="2472"/>
    </row>
    <row r="24" spans="1:6" ht="20.65" customHeight="1" x14ac:dyDescent="0.2">
      <c r="A24" s="1280"/>
      <c r="B24" s="1281" t="s">
        <v>2096</v>
      </c>
      <c r="C24" s="1282">
        <v>84.173000000000002</v>
      </c>
      <c r="D24" s="2472">
        <v>8792</v>
      </c>
      <c r="E24" s="2472"/>
      <c r="F24" s="2472"/>
    </row>
    <row r="25" spans="1:6" ht="20.65" customHeight="1" x14ac:dyDescent="0.2">
      <c r="A25" s="1280"/>
      <c r="B25" s="1281" t="s">
        <v>2104</v>
      </c>
      <c r="C25" s="1282"/>
      <c r="D25" s="2472">
        <f>SUM(D19:F24)</f>
        <v>68746</v>
      </c>
      <c r="E25" s="2472"/>
      <c r="F25" s="2472"/>
    </row>
    <row r="26" spans="1:6" ht="20.65" customHeight="1" x14ac:dyDescent="0.2">
      <c r="A26" s="1280"/>
      <c r="B26" s="1281"/>
      <c r="C26" s="1282"/>
      <c r="D26" s="2472"/>
      <c r="E26" s="2472"/>
      <c r="F26" s="2472"/>
    </row>
    <row r="27" spans="1:6" ht="20.65" customHeight="1" x14ac:dyDescent="0.2">
      <c r="A27" s="1280"/>
      <c r="B27" s="1281"/>
      <c r="C27" s="1282"/>
      <c r="D27" s="2472"/>
      <c r="E27" s="2472"/>
      <c r="F27" s="2472"/>
    </row>
    <row r="28" spans="1:6" ht="20.65" customHeight="1" x14ac:dyDescent="0.2">
      <c r="A28" s="1280"/>
      <c r="B28" s="1281"/>
      <c r="C28" s="1282"/>
      <c r="D28" s="2472"/>
      <c r="E28" s="2472"/>
      <c r="F28" s="2472"/>
    </row>
    <row r="29" spans="1:6" ht="20.65" customHeight="1" x14ac:dyDescent="0.2">
      <c r="A29" s="1280"/>
      <c r="B29" s="1281"/>
      <c r="C29" s="1282"/>
      <c r="D29" s="2472"/>
      <c r="E29" s="2472"/>
      <c r="F29" s="247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76" t="s">
        <v>2130</v>
      </c>
      <c r="B32" s="2476"/>
      <c r="C32" s="2476"/>
      <c r="D32" s="2476"/>
      <c r="E32" s="2476"/>
      <c r="F32" s="2476"/>
    </row>
    <row r="33" spans="1:6" ht="13.5" customHeight="1" x14ac:dyDescent="0.2">
      <c r="A33" s="328" t="s">
        <v>1434</v>
      </c>
      <c r="B33" s="328"/>
      <c r="C33" s="1285">
        <f>' SEFA (2)'!I14</f>
        <v>748</v>
      </c>
      <c r="D33" s="1903"/>
      <c r="E33" s="1283"/>
    </row>
    <row r="34" spans="1:6" ht="13.5" customHeight="1" x14ac:dyDescent="0.2">
      <c r="A34" s="328" t="s">
        <v>1835</v>
      </c>
      <c r="B34" s="328"/>
      <c r="C34" s="1286">
        <v>0</v>
      </c>
      <c r="D34" s="1903" t="s">
        <v>1589</v>
      </c>
      <c r="E34" s="2477">
        <f>+C33+C34</f>
        <v>748</v>
      </c>
      <c r="F34" s="247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572</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572</v>
      </c>
      <c r="D40" s="1903"/>
      <c r="E40" s="1283"/>
    </row>
    <row r="41" spans="1:6" ht="14.25" customHeight="1" x14ac:dyDescent="0.2">
      <c r="A41" s="328"/>
      <c r="B41" s="328" t="s">
        <v>1438</v>
      </c>
      <c r="C41" s="1289" t="s">
        <v>572</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9" t="s">
        <v>1590</v>
      </c>
      <c r="C49" s="2479"/>
      <c r="D49" s="2479"/>
      <c r="E49" s="1396"/>
    </row>
    <row r="50" spans="1:5" s="1297" customFormat="1" ht="3.75" customHeight="1" x14ac:dyDescent="0.2">
      <c r="A50" s="1296"/>
      <c r="B50" s="1936"/>
      <c r="C50" s="1936"/>
      <c r="D50" s="1936"/>
      <c r="E50" s="1396"/>
    </row>
    <row r="51" spans="1:5" s="1297" customFormat="1" ht="20.25" customHeight="1" x14ac:dyDescent="0.2">
      <c r="A51" s="1298">
        <v>6</v>
      </c>
      <c r="B51" s="2475" t="s">
        <v>1551</v>
      </c>
      <c r="C51" s="2475"/>
      <c r="D51" s="2475"/>
    </row>
    <row r="52" spans="1:5" ht="14.25" customHeight="1" x14ac:dyDescent="0.2">
      <c r="A52" s="1298"/>
      <c r="B52" s="2475"/>
      <c r="C52" s="2475"/>
      <c r="D52" s="24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B22" sqref="B2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Kankakee Area Spec Educ Coop</v>
      </c>
      <c r="C1" s="2485"/>
      <c r="D1" s="2485"/>
      <c r="E1" s="2485"/>
      <c r="F1" s="2485"/>
      <c r="G1" s="2485"/>
      <c r="H1" s="2485"/>
      <c r="I1" s="2485"/>
      <c r="J1" s="1406"/>
    </row>
    <row r="2" spans="2:10" s="317" customFormat="1" ht="12.75" customHeight="1" x14ac:dyDescent="0.2">
      <c r="B2" s="2486">
        <f>'Single Audit Cover'!E7</f>
        <v>32046850060</v>
      </c>
      <c r="C2" s="2487"/>
      <c r="D2" s="2487"/>
      <c r="E2" s="2487"/>
      <c r="F2" s="2487"/>
      <c r="G2" s="2487"/>
      <c r="H2" s="2487"/>
      <c r="I2" s="2487"/>
      <c r="J2" s="1406"/>
    </row>
    <row r="3" spans="2:10" s="317" customFormat="1" ht="12.75" customHeight="1" x14ac:dyDescent="0.2">
      <c r="B3" s="2488" t="s">
        <v>1285</v>
      </c>
      <c r="C3" s="2489"/>
      <c r="D3" s="2489"/>
      <c r="E3" s="2489"/>
      <c r="F3" s="2489"/>
      <c r="G3" s="2489"/>
      <c r="H3" s="2489"/>
      <c r="I3" s="2489"/>
      <c r="J3" s="1407"/>
    </row>
    <row r="4" spans="2:10" s="317" customFormat="1" ht="12.75" customHeight="1" x14ac:dyDescent="0.2">
      <c r="B4" s="2488" t="str">
        <f>'Single Audit Cover'!A4</f>
        <v>Year Ending June 30, 2019</v>
      </c>
      <c r="C4" s="2489"/>
      <c r="D4" s="2489"/>
      <c r="E4" s="2489"/>
      <c r="F4" s="2489"/>
      <c r="G4" s="2489"/>
      <c r="H4" s="2489"/>
      <c r="I4" s="248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88" t="s">
        <v>1284</v>
      </c>
      <c r="C7" s="2489"/>
      <c r="D7" s="2489"/>
      <c r="E7" s="2489"/>
      <c r="F7" s="2489"/>
      <c r="G7" s="2489"/>
      <c r="H7" s="2489"/>
      <c r="I7" s="248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90" t="s">
        <v>2105</v>
      </c>
      <c r="D11" s="249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2080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2080</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2080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2080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2080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91" t="s">
        <v>2106</v>
      </c>
      <c r="E29" s="2491"/>
      <c r="F29" s="2491"/>
      <c r="G29" s="2491"/>
      <c r="H29" s="2491"/>
      <c r="I29" s="2491"/>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2080</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92" t="s">
        <v>1748</v>
      </c>
      <c r="D37" s="2493"/>
      <c r="E37" s="2493"/>
      <c r="F37" s="2494"/>
      <c r="G37" s="2492" t="s">
        <v>1592</v>
      </c>
      <c r="H37" s="2493"/>
      <c r="I37" s="2494"/>
    </row>
    <row r="38" spans="2:9" ht="16.5" customHeight="1" x14ac:dyDescent="0.2">
      <c r="B38" s="1428" t="s">
        <v>2107</v>
      </c>
      <c r="C38" s="2480" t="s">
        <v>2108</v>
      </c>
      <c r="D38" s="2481"/>
      <c r="E38" s="2481"/>
      <c r="F38" s="2482"/>
      <c r="G38" s="2495">
        <f>' SEFA'!I20</f>
        <v>1129539</v>
      </c>
      <c r="H38" s="2496"/>
      <c r="I38" s="2497"/>
    </row>
    <row r="39" spans="2:9" ht="16.5" customHeight="1" x14ac:dyDescent="0.2">
      <c r="B39" s="1428"/>
      <c r="C39" s="2480"/>
      <c r="D39" s="2481"/>
      <c r="E39" s="2481"/>
      <c r="F39" s="2482"/>
      <c r="G39" s="2483"/>
      <c r="H39" s="2483"/>
      <c r="I39" s="2483"/>
    </row>
    <row r="40" spans="2:9" ht="16.5" customHeight="1" x14ac:dyDescent="0.2">
      <c r="B40" s="1428"/>
      <c r="C40" s="2480"/>
      <c r="D40" s="2481"/>
      <c r="E40" s="2481"/>
      <c r="F40" s="2482"/>
      <c r="G40" s="2483"/>
      <c r="H40" s="2483"/>
      <c r="I40" s="2483"/>
    </row>
    <row r="41" spans="2:9" ht="16.5" customHeight="1" x14ac:dyDescent="0.2">
      <c r="B41" s="1428"/>
      <c r="C41" s="2480"/>
      <c r="D41" s="2481"/>
      <c r="E41" s="2481"/>
      <c r="F41" s="2482"/>
      <c r="G41" s="2483"/>
      <c r="H41" s="2483"/>
      <c r="I41" s="2483"/>
    </row>
    <row r="42" spans="2:9" ht="16.5" customHeight="1" x14ac:dyDescent="0.2">
      <c r="B42" s="1428"/>
      <c r="C42" s="2480"/>
      <c r="D42" s="2481"/>
      <c r="E42" s="2481"/>
      <c r="F42" s="2482"/>
      <c r="G42" s="2483"/>
      <c r="H42" s="2483"/>
      <c r="I42" s="2483"/>
    </row>
    <row r="43" spans="2:9" ht="16.5" customHeight="1" x14ac:dyDescent="0.2">
      <c r="B43" s="1428"/>
      <c r="C43" s="2498" t="s">
        <v>1593</v>
      </c>
      <c r="D43" s="2499"/>
      <c r="E43" s="2499"/>
      <c r="F43" s="2500"/>
      <c r="G43" s="2501">
        <f>SUM(G38:I42)</f>
        <v>1129539</v>
      </c>
      <c r="H43" s="2501"/>
      <c r="I43" s="2501"/>
    </row>
    <row r="44" spans="2:9" ht="12.75" customHeight="1" x14ac:dyDescent="0.2"/>
    <row r="45" spans="2:9" ht="12.75" customHeight="1" x14ac:dyDescent="0.2">
      <c r="B45" s="1419" t="s">
        <v>2131</v>
      </c>
      <c r="D45" s="2502">
        <f>' SEFA (2)'!I18</f>
        <v>0</v>
      </c>
      <c r="E45" s="250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504">
        <v>750000</v>
      </c>
      <c r="F49" s="2504"/>
      <c r="G49" s="2504"/>
      <c r="H49" s="322"/>
    </row>
    <row r="51" spans="1:9" ht="13.5" customHeight="1" x14ac:dyDescent="0.2">
      <c r="B51" s="1365" t="s">
        <v>1272</v>
      </c>
      <c r="C51" s="1279"/>
      <c r="E51" s="1422"/>
      <c r="F51" s="1297" t="s">
        <v>885</v>
      </c>
      <c r="G51" s="1422" t="s">
        <v>2080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2" sqref="B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Kankakee Area Spec Educ Coop</v>
      </c>
      <c r="C1" s="2484"/>
      <c r="D1" s="2484"/>
      <c r="E1" s="2484"/>
      <c r="F1" s="2484"/>
      <c r="G1" s="2484"/>
      <c r="H1" s="2484"/>
      <c r="I1" s="2484"/>
      <c r="J1" s="2484"/>
      <c r="K1" s="2484"/>
      <c r="L1" s="1371"/>
      <c r="M1" s="1371"/>
    </row>
    <row r="2" spans="1:13" ht="12" customHeight="1" x14ac:dyDescent="0.2">
      <c r="B2" s="2486">
        <f>'Single Audit Cover'!E7</f>
        <v>32046850060</v>
      </c>
      <c r="C2" s="2486"/>
      <c r="D2" s="2486"/>
      <c r="E2" s="2486"/>
      <c r="F2" s="2486"/>
      <c r="G2" s="2486"/>
      <c r="H2" s="2486"/>
      <c r="I2" s="2486"/>
      <c r="J2" s="2486"/>
      <c r="K2" s="2486"/>
      <c r="L2" s="1372"/>
      <c r="M2" s="1373"/>
    </row>
    <row r="3" spans="1:13" ht="10.35" customHeight="1" x14ac:dyDescent="0.2">
      <c r="B3" s="2507" t="s">
        <v>1285</v>
      </c>
      <c r="C3" s="2507"/>
      <c r="D3" s="2507"/>
      <c r="E3" s="2507"/>
      <c r="F3" s="2507"/>
      <c r="G3" s="2507"/>
      <c r="H3" s="2507"/>
      <c r="I3" s="2507"/>
      <c r="J3" s="2507"/>
      <c r="K3" s="2507"/>
      <c r="L3" s="1374"/>
      <c r="M3" s="1374"/>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8" t="s">
        <v>1296</v>
      </c>
      <c r="C7" s="2508"/>
      <c r="D7" s="2509"/>
      <c r="E7" s="2509"/>
      <c r="F7" s="2509"/>
      <c r="G7" s="2509"/>
      <c r="H7" s="2509"/>
      <c r="I7" s="2509"/>
      <c r="J7" s="2509"/>
      <c r="K7" s="250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2109</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06"/>
      <c r="C14" s="2506"/>
      <c r="D14" s="2506"/>
      <c r="E14" s="2506"/>
      <c r="F14" s="2506"/>
      <c r="G14" s="2506"/>
      <c r="H14" s="2506"/>
      <c r="I14" s="2506"/>
      <c r="J14" s="2506"/>
      <c r="K14" s="250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06"/>
      <c r="C17" s="2506"/>
      <c r="D17" s="2506"/>
      <c r="E17" s="2506"/>
      <c r="F17" s="2506"/>
      <c r="G17" s="2506"/>
      <c r="H17" s="2506"/>
      <c r="I17" s="2506"/>
      <c r="J17" s="2506"/>
      <c r="K17" s="250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10"/>
      <c r="C20" s="2510"/>
      <c r="D20" s="2506"/>
      <c r="E20" s="2506"/>
      <c r="F20" s="2506"/>
      <c r="G20" s="2506"/>
      <c r="H20" s="2506"/>
      <c r="I20" s="2506"/>
      <c r="J20" s="2506"/>
      <c r="K20" s="250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06"/>
      <c r="C23" s="2506"/>
      <c r="D23" s="2506"/>
      <c r="E23" s="2506"/>
      <c r="F23" s="2506"/>
      <c r="G23" s="2506"/>
      <c r="H23" s="2506"/>
      <c r="I23" s="2506"/>
      <c r="J23" s="2506"/>
      <c r="K23" s="250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06"/>
      <c r="C26" s="2506"/>
      <c r="D26" s="2506"/>
      <c r="E26" s="2506"/>
      <c r="F26" s="2506"/>
      <c r="G26" s="2506"/>
      <c r="H26" s="2506"/>
      <c r="I26" s="2506"/>
      <c r="J26" s="2506"/>
      <c r="K26" s="250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05"/>
      <c r="C29" s="2505"/>
      <c r="D29" s="2506"/>
      <c r="E29" s="2506"/>
      <c r="F29" s="2506"/>
      <c r="G29" s="2506"/>
      <c r="H29" s="2506"/>
      <c r="I29" s="2506"/>
      <c r="J29" s="2506"/>
      <c r="K29" s="250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05"/>
      <c r="C32" s="2505"/>
      <c r="D32" s="2506"/>
      <c r="E32" s="2506"/>
      <c r="F32" s="2506"/>
      <c r="G32" s="2506"/>
      <c r="H32" s="2506"/>
      <c r="I32" s="2506"/>
      <c r="J32" s="2506"/>
      <c r="K32" s="250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2" sqref="B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Kankakee Area Spec Educ Coop</v>
      </c>
      <c r="C1" s="2511"/>
      <c r="D1" s="2511"/>
      <c r="E1" s="2511"/>
      <c r="F1" s="2511"/>
      <c r="G1" s="2511"/>
      <c r="H1" s="2511"/>
      <c r="I1" s="2511"/>
      <c r="J1" s="2511"/>
      <c r="K1" s="2511"/>
      <c r="L1" s="1449"/>
    </row>
    <row r="2" spans="1:12" ht="12.75" customHeight="1" x14ac:dyDescent="0.2">
      <c r="B2" s="2512">
        <f>'Single Audit Cover'!E7</f>
        <v>32046850060</v>
      </c>
      <c r="C2" s="2512"/>
      <c r="D2" s="2512"/>
      <c r="E2" s="2512"/>
      <c r="F2" s="2512"/>
      <c r="G2" s="2512"/>
      <c r="H2" s="2512"/>
      <c r="I2" s="2512"/>
      <c r="J2" s="2512"/>
      <c r="K2" s="2512"/>
      <c r="L2" s="1450"/>
    </row>
    <row r="3" spans="1:12" ht="12.75" customHeight="1" x14ac:dyDescent="0.2">
      <c r="B3" s="2507" t="s">
        <v>1285</v>
      </c>
      <c r="C3" s="2507"/>
      <c r="D3" s="2507"/>
      <c r="E3" s="2507"/>
      <c r="F3" s="2507"/>
      <c r="G3" s="2507"/>
      <c r="H3" s="2507"/>
      <c r="I3" s="2507"/>
      <c r="J3" s="2507"/>
      <c r="K3" s="2507"/>
      <c r="L3" s="1374"/>
    </row>
    <row r="4" spans="1:12" ht="12.75" customHeight="1" x14ac:dyDescent="0.2">
      <c r="B4" s="2507" t="str">
        <f>'Single Audit Cover'!A4</f>
        <v>Year Ending June 30, 2019</v>
      </c>
      <c r="C4" s="2507"/>
      <c r="D4" s="2507"/>
      <c r="E4" s="2507"/>
      <c r="F4" s="2507"/>
      <c r="G4" s="2507"/>
      <c r="H4" s="2507"/>
      <c r="I4" s="2507"/>
      <c r="J4" s="2507"/>
      <c r="K4" s="2507"/>
      <c r="L4" s="1374"/>
    </row>
    <row r="5" spans="1:12" ht="5.25" customHeight="1" x14ac:dyDescent="0.2">
      <c r="B5" s="1257" t="s">
        <v>1169</v>
      </c>
      <c r="C5" s="1257"/>
      <c r="L5" s="322"/>
    </row>
    <row r="6" spans="1:12" ht="30.75" customHeight="1" x14ac:dyDescent="0.2">
      <c r="A6" s="322"/>
      <c r="B6" s="2513" t="s">
        <v>1308</v>
      </c>
      <c r="C6" s="2513"/>
      <c r="D6" s="2513"/>
      <c r="E6" s="2513"/>
      <c r="F6" s="2513"/>
      <c r="G6" s="2513"/>
      <c r="H6" s="2513"/>
      <c r="I6" s="2513"/>
      <c r="J6" s="2513"/>
      <c r="K6" s="251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2109</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91"/>
      <c r="G12" s="2491"/>
      <c r="H12" s="2491"/>
      <c r="I12" s="2491"/>
      <c r="J12" s="2491"/>
      <c r="K12" s="249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4"/>
      <c r="E14" s="2514"/>
      <c r="F14" s="2514"/>
      <c r="H14" s="1459" t="s">
        <v>1303</v>
      </c>
      <c r="I14" s="2515"/>
      <c r="J14" s="2515"/>
      <c r="K14" s="251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15"/>
      <c r="E16" s="2515"/>
      <c r="F16" s="2515"/>
      <c r="G16" s="2515"/>
      <c r="H16" s="2515"/>
      <c r="I16" s="2515"/>
      <c r="J16" s="2515"/>
      <c r="K16" s="2515"/>
      <c r="L16" s="322"/>
    </row>
    <row r="17" spans="2:12" ht="13.5" customHeight="1" x14ac:dyDescent="0.2">
      <c r="B17" s="1384" t="s">
        <v>1301</v>
      </c>
      <c r="C17" s="1384"/>
      <c r="D17" s="2516"/>
      <c r="E17" s="2516"/>
      <c r="F17" s="2516"/>
      <c r="G17" s="2516"/>
      <c r="H17" s="2516"/>
      <c r="I17" s="2516"/>
      <c r="J17" s="2516"/>
      <c r="K17" s="251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06"/>
      <c r="C20" s="2506"/>
      <c r="D20" s="2506"/>
      <c r="E20" s="2506"/>
      <c r="F20" s="2506"/>
      <c r="G20" s="2506"/>
      <c r="H20" s="2506"/>
      <c r="I20" s="2506"/>
      <c r="J20" s="2506"/>
      <c r="K20" s="250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22" sqref="B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4" t="str">
        <f>'Single Audit Cover'!A7</f>
        <v>Kankakee Area Spec Educ Coop</v>
      </c>
      <c r="C1" s="2484"/>
      <c r="D1" s="2484"/>
      <c r="E1" s="1469"/>
    </row>
    <row r="2" spans="2:5" s="1279" customFormat="1" ht="12.75" customHeight="1" x14ac:dyDescent="0.2">
      <c r="B2" s="2486">
        <f>'Single Audit Cover'!E7</f>
        <v>32046850060</v>
      </c>
      <c r="C2" s="2486"/>
      <c r="D2" s="2486"/>
      <c r="E2" s="1470"/>
    </row>
    <row r="3" spans="2:5" ht="12.75" customHeight="1" x14ac:dyDescent="0.2">
      <c r="B3" s="2507" t="s">
        <v>1763</v>
      </c>
      <c r="C3" s="2507"/>
      <c r="D3" s="2507"/>
      <c r="E3" s="1271"/>
    </row>
    <row r="4" spans="2:5" s="1279" customFormat="1" ht="12.75" customHeight="1" x14ac:dyDescent="0.2">
      <c r="B4" s="2517" t="str">
        <f>'Single Audit Cover'!A4</f>
        <v>Year Ending June 30, 2019</v>
      </c>
      <c r="C4" s="2517"/>
      <c r="D4" s="2517"/>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2109</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6" colorId="8" zoomScale="110" zoomScaleNormal="110" workbookViewId="0">
      <selection activeCell="B22" sqref="B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386</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2138268</v>
      </c>
      <c r="E16" s="356"/>
      <c r="F16" s="1733">
        <f>SUM('Acct Summary 7-8'!C17,'Acct Summary 7-8'!D17,'Acct Summary 7-8'!F17)</f>
        <v>2335796</v>
      </c>
      <c r="G16" s="356"/>
      <c r="H16" s="1733">
        <f>SUM(D16-F16)</f>
        <v>-197528</v>
      </c>
      <c r="I16" s="222"/>
      <c r="J16" s="1733">
        <f>SUM('Acct Summary 7-8'!C81,'Acct Summary 7-8'!D81,'Acct Summary 7-8'!F81,'Acct Summary 7-8'!I81)</f>
        <v>913919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6"/>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22" sqref="B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556</v>
      </c>
      <c r="B2" s="2134"/>
      <c r="C2" s="2134"/>
      <c r="D2" s="2134"/>
      <c r="E2" s="2134"/>
      <c r="F2" s="2134"/>
      <c r="G2" s="2134"/>
      <c r="H2" s="2134"/>
      <c r="I2" s="2134"/>
      <c r="J2" s="2134"/>
      <c r="K2" s="2134"/>
      <c r="L2" s="2134"/>
      <c r="M2" s="2134"/>
      <c r="N2" s="2134"/>
      <c r="O2" s="2134"/>
      <c r="P2" s="2134"/>
      <c r="Q2" s="2134"/>
      <c r="R2" s="2134"/>
    </row>
    <row r="3" spans="1:18" ht="12.75" x14ac:dyDescent="0.2">
      <c r="A3" s="2135" t="s">
        <v>1413</v>
      </c>
      <c r="B3" s="2135"/>
      <c r="C3" s="2135"/>
      <c r="D3" s="2135"/>
      <c r="E3" s="2135"/>
      <c r="F3" s="2135"/>
      <c r="G3" s="2135"/>
      <c r="H3" s="2135"/>
      <c r="I3" s="2135"/>
      <c r="J3" s="2135"/>
      <c r="K3" s="2135"/>
      <c r="L3" s="2135"/>
      <c r="M3" s="2135"/>
      <c r="N3" s="2135"/>
      <c r="O3" s="2135"/>
      <c r="P3" s="2135"/>
      <c r="Q3" s="2135"/>
      <c r="R3" s="2135"/>
    </row>
    <row r="4" spans="1:18" x14ac:dyDescent="0.2">
      <c r="A4" s="2136" t="s">
        <v>1554</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Kankakee Area Spec Educ Coop</v>
      </c>
      <c r="E7" s="391"/>
      <c r="G7" s="252"/>
      <c r="H7" s="387"/>
      <c r="I7" s="387"/>
      <c r="J7" s="387"/>
      <c r="K7" s="387"/>
      <c r="L7" s="329"/>
      <c r="M7" s="329"/>
      <c r="N7" s="329"/>
      <c r="O7" s="329"/>
      <c r="P7" s="329"/>
    </row>
    <row r="8" spans="1:18" ht="12.75" x14ac:dyDescent="0.2">
      <c r="A8" s="329"/>
      <c r="B8" s="329"/>
      <c r="C8" s="389" t="s">
        <v>1125</v>
      </c>
      <c r="D8" s="392">
        <f>COVER!A13</f>
        <v>32046850060</v>
      </c>
      <c r="E8" s="393"/>
      <c r="G8" s="329"/>
      <c r="H8" s="329"/>
      <c r="I8" s="329"/>
      <c r="J8" s="329"/>
      <c r="K8" s="329"/>
      <c r="L8" s="329"/>
      <c r="M8" s="329"/>
      <c r="N8" s="329"/>
      <c r="O8" s="329"/>
      <c r="P8" s="329"/>
    </row>
    <row r="9" spans="1:18" ht="12.75" x14ac:dyDescent="0.2">
      <c r="A9" s="329"/>
      <c r="B9" s="329"/>
      <c r="C9" s="389" t="s">
        <v>713</v>
      </c>
      <c r="D9" s="394" t="str">
        <f>COVER!A15</f>
        <v>Kankakee/Iroquois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913919</v>
      </c>
      <c r="I12" s="404"/>
      <c r="J12" s="404"/>
      <c r="K12" s="405">
        <f>TRUNC((H12/H13*100000),5)/100000</f>
        <v>0.42741087639999997</v>
      </c>
      <c r="L12" s="406"/>
      <c r="M12" s="360" t="s">
        <v>1144</v>
      </c>
      <c r="N12" s="360"/>
      <c r="O12" s="407">
        <v>0.35</v>
      </c>
      <c r="P12" s="218"/>
      <c r="Q12" s="218"/>
    </row>
    <row r="13" spans="1:18" s="408" customFormat="1" ht="12.75" x14ac:dyDescent="0.2">
      <c r="A13" s="218"/>
      <c r="B13" s="401"/>
      <c r="C13" s="2132" t="s">
        <v>1324</v>
      </c>
      <c r="D13" s="2133"/>
      <c r="E13" s="218"/>
      <c r="F13" s="409" t="s">
        <v>793</v>
      </c>
      <c r="G13" s="402"/>
      <c r="H13" s="403">
        <f>SUM('Acct Summary 7-8'!C8+'Acct Summary 7-8'!D8+'Acct Summary 7-8'!F8+'Acct Summary 7-8'!I8)+H14</f>
        <v>2138268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2335796</v>
      </c>
      <c r="I17" s="404"/>
      <c r="J17" s="416"/>
      <c r="K17" s="405">
        <f>TRUNC((H17/H18*100000),5)/100000</f>
        <v>1.0923775690999999</v>
      </c>
      <c r="L17" s="406"/>
      <c r="M17" s="417" t="s">
        <v>1171</v>
      </c>
      <c r="O17" s="418" t="str">
        <f>IF(AND(O16="2", J20 &gt; 2),"1",IF(AND(O16 = "1", J20 &gt; 2),"2",IF(AND(O16="1", J20 &gt;1),"1","0")))</f>
        <v>0</v>
      </c>
      <c r="P17" s="218"/>
    </row>
    <row r="18" spans="1:18" s="408" customFormat="1" ht="11.25" x14ac:dyDescent="0.2">
      <c r="A18" s="218"/>
      <c r="B18" s="401"/>
      <c r="C18" s="2132" t="s">
        <v>1317</v>
      </c>
      <c r="D18" s="2133"/>
      <c r="E18" s="218"/>
      <c r="F18" s="419" t="s">
        <v>794</v>
      </c>
      <c r="G18" s="402"/>
      <c r="H18" s="403">
        <f>SUM('Acct Summary 7-8'!C8+'Acct Summary 7-8'!D8+'Acct Summary 7-8'!F8+'Acct Summary 7-8'!I8)+H19</f>
        <v>2138268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3.5442681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29" t="s">
        <v>1412</v>
      </c>
      <c r="D24" s="2129"/>
      <c r="E24" s="218"/>
      <c r="F24" s="218" t="s">
        <v>445</v>
      </c>
      <c r="G24" s="402"/>
      <c r="H24" s="403">
        <f>SUM('Assets-Liab 5-6'!C4+'Assets-Liab 5-6'!D4+'Assets-Liab 5-6'!F4+'Assets-Liab 5-6'!I4+'Assets-Liab 5-6'!C5+'Assets-Liab 5-6'!D5+'Assets-Liab 5-6'!F5+'Assets-Liab 5-6'!I5)</f>
        <v>913638</v>
      </c>
      <c r="I24" s="422"/>
      <c r="J24" s="422"/>
      <c r="K24" s="423">
        <f>TRUNC(((H24/H25*100000)/100000),2)</f>
        <v>140.81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6488.32222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B22" sqref="B22"/>
      <selection pane="bottomLeft" activeCell="B22" sqref="B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9" t="s">
        <v>973</v>
      </c>
      <c r="B3" s="2140"/>
      <c r="C3" s="1559"/>
      <c r="D3" s="1560"/>
      <c r="E3" s="1560"/>
      <c r="F3" s="1560"/>
      <c r="G3" s="1560"/>
      <c r="H3" s="1560"/>
      <c r="I3" s="1560"/>
      <c r="J3" s="1560"/>
      <c r="K3" s="1560"/>
      <c r="L3" s="1560"/>
      <c r="M3" s="1561"/>
      <c r="N3" s="1562"/>
    </row>
    <row r="4" spans="1:14" ht="13.5" customHeight="1" x14ac:dyDescent="0.2">
      <c r="A4" s="463" t="s">
        <v>1651</v>
      </c>
      <c r="B4" s="464"/>
      <c r="C4" s="465">
        <v>493302</v>
      </c>
      <c r="D4" s="466"/>
      <c r="E4" s="466"/>
      <c r="F4" s="466">
        <v>20336</v>
      </c>
      <c r="G4" s="466"/>
      <c r="H4" s="466"/>
      <c r="I4" s="466"/>
      <c r="J4" s="467"/>
      <c r="K4" s="466"/>
      <c r="L4" s="466"/>
      <c r="M4" s="468"/>
      <c r="N4" s="469"/>
    </row>
    <row r="5" spans="1:14" x14ac:dyDescent="0.2">
      <c r="A5" s="463" t="s">
        <v>992</v>
      </c>
      <c r="B5" s="470">
        <v>120</v>
      </c>
      <c r="C5" s="465">
        <v>400000</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893302</v>
      </c>
      <c r="D13" s="1737">
        <f t="shared" ref="D13:L13" si="0">SUM(D4:D12)</f>
        <v>0</v>
      </c>
      <c r="E13" s="1737">
        <f t="shared" si="0"/>
        <v>0</v>
      </c>
      <c r="F13" s="1737">
        <f t="shared" si="0"/>
        <v>20336</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41" t="s">
        <v>147</v>
      </c>
      <c r="B14" s="214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50424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50424</v>
      </c>
      <c r="N23" s="1688">
        <f>SUM(N21:N22)</f>
        <v>0</v>
      </c>
    </row>
    <row r="24" spans="1:14" ht="18" customHeight="1" thickTop="1" x14ac:dyDescent="0.2">
      <c r="A24" s="2143" t="s">
        <v>598</v>
      </c>
      <c r="B24" s="214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-281</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-281</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45" t="s">
        <v>529</v>
      </c>
      <c r="B35" s="214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893583</v>
      </c>
      <c r="D39" s="466"/>
      <c r="E39" s="466"/>
      <c r="F39" s="466">
        <v>20336</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50424</v>
      </c>
      <c r="N40" s="497"/>
    </row>
    <row r="41" spans="1:14" ht="13.5" customHeight="1" thickBot="1" x14ac:dyDescent="0.25">
      <c r="A41" s="1736" t="s">
        <v>655</v>
      </c>
      <c r="B41" s="1706"/>
      <c r="C41" s="1688">
        <f>(SUM(C34,C37,C38,C39))</f>
        <v>893302</v>
      </c>
      <c r="D41" s="1688">
        <f t="shared" ref="D41:L41" si="2">SUM(D34,D37,D38:D39)</f>
        <v>0</v>
      </c>
      <c r="E41" s="1688">
        <f t="shared" si="2"/>
        <v>0</v>
      </c>
      <c r="F41" s="1688">
        <f t="shared" si="2"/>
        <v>20336</v>
      </c>
      <c r="G41" s="1688">
        <f t="shared" si="2"/>
        <v>0</v>
      </c>
      <c r="H41" s="1688">
        <f t="shared" si="2"/>
        <v>0</v>
      </c>
      <c r="I41" s="1688">
        <f t="shared" si="2"/>
        <v>0</v>
      </c>
      <c r="J41" s="1688">
        <f t="shared" si="2"/>
        <v>0</v>
      </c>
      <c r="K41" s="1688">
        <f t="shared" si="2"/>
        <v>0</v>
      </c>
      <c r="L41" s="1688">
        <f t="shared" si="2"/>
        <v>0</v>
      </c>
      <c r="M41" s="1688">
        <f>SUM(M40)</f>
        <v>50424</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B22" sqref="B22"/>
      <selection pane="bottomLeft" activeCell="A22" sqref="A22:B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7" t="s">
        <v>1175</v>
      </c>
      <c r="B3" s="2168"/>
      <c r="C3" s="1573"/>
      <c r="D3" s="1574"/>
      <c r="E3" s="1574"/>
      <c r="F3" s="1574"/>
      <c r="G3" s="1574"/>
      <c r="H3" s="1574"/>
      <c r="I3" s="1574"/>
      <c r="J3" s="1574"/>
      <c r="K3" s="1575"/>
      <c r="L3" s="506"/>
    </row>
    <row r="4" spans="1:13" ht="15.75" customHeight="1" x14ac:dyDescent="0.2">
      <c r="A4" s="1928" t="s">
        <v>1499</v>
      </c>
      <c r="B4" s="1929">
        <v>1000</v>
      </c>
      <c r="C4" s="1742">
        <f>'Revenues 9-14'!C109</f>
        <v>702510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1120895</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165318</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149545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2138268</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368142</v>
      </c>
      <c r="D9" s="516"/>
      <c r="E9" s="481"/>
      <c r="F9" s="481"/>
      <c r="G9" s="517"/>
      <c r="H9" s="481"/>
      <c r="I9" s="509" t="s">
        <v>1169</v>
      </c>
      <c r="J9" s="478"/>
      <c r="K9" s="481"/>
      <c r="L9" s="347"/>
    </row>
    <row r="10" spans="1:13" s="519" customFormat="1" ht="13.5" thickBot="1" x14ac:dyDescent="0.25">
      <c r="A10" s="1736" t="s">
        <v>1173</v>
      </c>
      <c r="B10" s="1709"/>
      <c r="C10" s="1688">
        <f>SUM(C8:C9)</f>
        <v>2506410</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41" t="s">
        <v>1176</v>
      </c>
      <c r="B11" s="2142"/>
      <c r="C11" s="1570"/>
      <c r="D11" s="1571"/>
      <c r="E11" s="1571"/>
      <c r="F11" s="1571"/>
      <c r="G11" s="1571"/>
      <c r="H11" s="1571"/>
      <c r="I11" s="1571"/>
      <c r="J11" s="1571"/>
      <c r="K11" s="1572"/>
      <c r="L11" s="518"/>
    </row>
    <row r="12" spans="1:13" ht="15.75" customHeight="1" x14ac:dyDescent="0.2">
      <c r="A12" s="1576" t="s">
        <v>456</v>
      </c>
      <c r="B12" s="1578">
        <v>1000</v>
      </c>
      <c r="C12" s="1742">
        <f>'Expenditures 15-22'!K33</f>
        <v>642720</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572181</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1120895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2335796</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368142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2703938</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57" t="s">
        <v>1655</v>
      </c>
      <c r="B20" s="2158"/>
      <c r="C20" s="1746">
        <f>C8-C17</f>
        <v>-197528</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69" t="s">
        <v>595</v>
      </c>
      <c r="B21" s="2170"/>
      <c r="C21" s="1570"/>
      <c r="D21" s="1571"/>
      <c r="E21" s="1571"/>
      <c r="F21" s="1571"/>
      <c r="G21" s="1571"/>
      <c r="H21" s="1571"/>
      <c r="I21" s="1571"/>
      <c r="J21" s="1571"/>
      <c r="K21" s="1572"/>
      <c r="L21" s="524"/>
    </row>
    <row r="22" spans="1:12" ht="15.75" customHeight="1" collapsed="1" x14ac:dyDescent="0.2">
      <c r="A22" s="2165" t="s">
        <v>596</v>
      </c>
      <c r="B22" s="2166"/>
      <c r="C22" s="477"/>
      <c r="D22" s="477"/>
      <c r="E22" s="477"/>
      <c r="F22" s="477"/>
      <c r="G22" s="477"/>
      <c r="H22" s="477"/>
      <c r="I22" s="477"/>
      <c r="J22" s="477"/>
      <c r="K22" s="477"/>
      <c r="L22" s="347"/>
    </row>
    <row r="23" spans="1:12" s="485" customFormat="1" ht="15.75" customHeight="1" x14ac:dyDescent="0.2">
      <c r="A23" s="2161" t="s">
        <v>293</v>
      </c>
      <c r="B23" s="216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63" t="s">
        <v>981</v>
      </c>
      <c r="B32" s="216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71" t="s">
        <v>374</v>
      </c>
      <c r="B44" s="217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65" t="s">
        <v>108</v>
      </c>
      <c r="B45" s="2166"/>
      <c r="C45" s="528"/>
      <c r="D45" s="528"/>
      <c r="E45" s="528"/>
      <c r="F45" s="528"/>
      <c r="G45" s="528"/>
      <c r="H45" s="528"/>
      <c r="I45" s="528"/>
      <c r="J45" s="528"/>
      <c r="K45" s="528"/>
      <c r="L45" s="347"/>
    </row>
    <row r="46" spans="1:12" s="485" customFormat="1" ht="15.75" customHeight="1" x14ac:dyDescent="0.2">
      <c r="A46" s="2173" t="s">
        <v>109</v>
      </c>
      <c r="B46" s="217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47" t="s">
        <v>440</v>
      </c>
      <c r="B76" s="214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49" t="s">
        <v>1177</v>
      </c>
      <c r="B77" s="215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53" t="s">
        <v>597</v>
      </c>
      <c r="B78" s="2154"/>
      <c r="C78" s="1702">
        <f t="shared" ref="C78:K78" si="9">C20+C77</f>
        <v>-197528</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1944</v>
      </c>
      <c r="B79" s="534"/>
      <c r="C79" s="478">
        <v>1091111</v>
      </c>
      <c r="D79" s="535"/>
      <c r="E79" s="535"/>
      <c r="F79" s="535">
        <v>20336</v>
      </c>
      <c r="G79" s="535"/>
      <c r="H79" s="535"/>
      <c r="I79" s="535"/>
      <c r="J79" s="535"/>
      <c r="K79" s="535"/>
      <c r="L79" s="347"/>
    </row>
    <row r="80" spans="1:12" x14ac:dyDescent="0.2">
      <c r="A80" s="2159" t="s">
        <v>1792</v>
      </c>
      <c r="B80" s="2160"/>
      <c r="C80" s="467"/>
      <c r="D80" s="467"/>
      <c r="E80" s="467"/>
      <c r="F80" s="467"/>
      <c r="G80" s="467"/>
      <c r="H80" s="467"/>
      <c r="I80" s="467"/>
      <c r="J80" s="467"/>
      <c r="K80" s="467"/>
      <c r="L80" s="347"/>
    </row>
    <row r="81" spans="1:12" ht="13.5" thickBot="1" x14ac:dyDescent="0.25">
      <c r="A81" s="2151" t="s">
        <v>1945</v>
      </c>
      <c r="B81" s="2152"/>
      <c r="C81" s="1688">
        <f>(SUM(C78:C80))</f>
        <v>893583</v>
      </c>
      <c r="D81" s="1688">
        <f>SUM(D78:D80)</f>
        <v>0</v>
      </c>
      <c r="E81" s="1688">
        <f t="shared" ref="E81:K81" si="10">SUM(E78:E80)</f>
        <v>0</v>
      </c>
      <c r="F81" s="1688">
        <f t="shared" si="10"/>
        <v>20336</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-197528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-0.22105165384748815</v>
      </c>
      <c r="D83" s="540" t="e">
        <f t="shared" ref="D83:K83" si="12">D82/D81</f>
        <v>#DIV/0!</v>
      </c>
      <c r="E83" s="540" t="e">
        <f t="shared" si="12"/>
        <v>#DIV/0!</v>
      </c>
      <c r="F83" s="540">
        <f t="shared" si="12"/>
        <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63" activePane="bottomLeft" state="frozen"/>
      <selection activeCell="B22" sqref="B22"/>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5" t="s">
        <v>1799</v>
      </c>
      <c r="B1" s="452"/>
      <c r="C1" s="453" t="s">
        <v>425</v>
      </c>
      <c r="D1" s="453" t="s">
        <v>426</v>
      </c>
      <c r="E1" s="453" t="s">
        <v>427</v>
      </c>
      <c r="F1" s="453" t="s">
        <v>428</v>
      </c>
      <c r="G1" s="453" t="s">
        <v>429</v>
      </c>
      <c r="H1" s="453" t="s">
        <v>430</v>
      </c>
      <c r="I1" s="453" t="s">
        <v>431</v>
      </c>
      <c r="J1" s="453" t="s">
        <v>432</v>
      </c>
      <c r="K1" s="453" t="s">
        <v>756</v>
      </c>
    </row>
    <row r="2" spans="1:12" ht="36" x14ac:dyDescent="0.2">
      <c r="A2" s="215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v>2000</v>
      </c>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696796</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698796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3634</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3634</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80</v>
      </c>
      <c r="D107" s="466"/>
      <c r="E107" s="466"/>
      <c r="F107" s="466"/>
      <c r="G107" s="466"/>
      <c r="H107" s="466"/>
      <c r="I107" s="466"/>
      <c r="J107" s="467"/>
      <c r="K107" s="466"/>
    </row>
    <row r="108" spans="1:12" ht="12.75" customHeight="1" thickBot="1" x14ac:dyDescent="0.25">
      <c r="A108" s="1708" t="s">
        <v>487</v>
      </c>
      <c r="B108" s="1712"/>
      <c r="C108" s="1707">
        <f>SUM(C95:C107)</f>
        <v>80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702510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1120895</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1120895</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160939</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160939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4379</v>
      </c>
      <c r="D168" s="580"/>
      <c r="E168" s="580"/>
      <c r="F168" s="580"/>
      <c r="G168" s="581"/>
      <c r="H168" s="582"/>
      <c r="I168" s="581"/>
      <c r="J168" s="581"/>
      <c r="K168" s="582"/>
    </row>
    <row r="169" spans="1:11" ht="12.75" customHeight="1" thickTop="1" thickBot="1" x14ac:dyDescent="0.25">
      <c r="A169" s="2175" t="s">
        <v>398</v>
      </c>
      <c r="B169" s="2176"/>
      <c r="C169" s="1722">
        <f t="shared" ref="C169:K169" si="6">SUM(C132,C141,C145,C146:C150,C155,C156:C167,C168)</f>
        <v>4379</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165318</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77" t="s">
        <v>1492</v>
      </c>
      <c r="B172" s="217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81" t="s">
        <v>1665</v>
      </c>
      <c r="B175" s="218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85" t="s">
        <v>1664</v>
      </c>
      <c r="B176" s="218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83" t="s">
        <v>785</v>
      </c>
      <c r="B181" s="218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79" t="s">
        <v>1800</v>
      </c>
      <c r="B182" s="218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103450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103450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11981</v>
      </c>
      <c r="D263" s="576"/>
      <c r="E263" s="468"/>
      <c r="F263" s="576"/>
      <c r="G263" s="576"/>
      <c r="H263" s="468"/>
      <c r="I263" s="468"/>
      <c r="J263" s="468"/>
      <c r="K263" s="468"/>
    </row>
    <row r="264" spans="1:11" ht="12.75" customHeight="1" thickTop="1" thickBot="1" x14ac:dyDescent="0.25">
      <c r="A264" s="463" t="s">
        <v>377</v>
      </c>
      <c r="B264" s="470">
        <v>4992</v>
      </c>
      <c r="C264" s="575">
        <v>34114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149545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149545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2138268</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8" activePane="bottomLeft" state="frozen"/>
      <selection activeCell="B22" sqref="B22"/>
      <selection pane="bottomLeft" activeCell="B22" sqref="B2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5" t="s">
        <v>297</v>
      </c>
      <c r="B3" s="219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v>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465756</v>
      </c>
      <c r="D8" s="466">
        <v>93889</v>
      </c>
      <c r="E8" s="466">
        <v>51758</v>
      </c>
      <c r="F8" s="466">
        <v>9942</v>
      </c>
      <c r="G8" s="466"/>
      <c r="H8" s="466"/>
      <c r="I8" s="467"/>
      <c r="J8" s="467"/>
      <c r="K8" s="1671">
        <f t="shared" si="0"/>
        <v>621345</v>
      </c>
      <c r="L8" s="466">
        <v>614753</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11830</v>
      </c>
      <c r="D13" s="466">
        <v>5117</v>
      </c>
      <c r="E13" s="466">
        <v>1059</v>
      </c>
      <c r="F13" s="466">
        <v>1777</v>
      </c>
      <c r="G13" s="466"/>
      <c r="H13" s="466"/>
      <c r="I13" s="467"/>
      <c r="J13" s="467"/>
      <c r="K13" s="1671">
        <f t="shared" si="0"/>
        <v>19783</v>
      </c>
      <c r="L13" s="466">
        <v>26939</v>
      </c>
    </row>
    <row r="14" spans="1:14" x14ac:dyDescent="0.2">
      <c r="A14" s="1504" t="s">
        <v>963</v>
      </c>
      <c r="B14" s="614">
        <v>1500</v>
      </c>
      <c r="C14" s="466"/>
      <c r="D14" s="466"/>
      <c r="E14" s="466"/>
      <c r="F14" s="466"/>
      <c r="G14" s="466"/>
      <c r="H14" s="466"/>
      <c r="I14" s="467"/>
      <c r="J14" s="467"/>
      <c r="K14" s="1671">
        <f t="shared" si="0"/>
        <v>0</v>
      </c>
      <c r="L14" s="466">
        <v>0</v>
      </c>
    </row>
    <row r="15" spans="1:14" x14ac:dyDescent="0.2">
      <c r="A15" s="1504" t="s">
        <v>964</v>
      </c>
      <c r="B15" s="614">
        <v>1600</v>
      </c>
      <c r="C15" s="466">
        <v>1217</v>
      </c>
      <c r="D15" s="466">
        <v>375</v>
      </c>
      <c r="E15" s="466"/>
      <c r="F15" s="466"/>
      <c r="G15" s="466"/>
      <c r="H15" s="466"/>
      <c r="I15" s="467"/>
      <c r="J15" s="467"/>
      <c r="K15" s="1671">
        <f t="shared" si="0"/>
        <v>1592</v>
      </c>
      <c r="L15" s="466">
        <v>3701</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478803</v>
      </c>
      <c r="D33" s="1670">
        <f t="shared" ref="D33:L33" si="1">SUM(D5:D32)</f>
        <v>99381</v>
      </c>
      <c r="E33" s="1670">
        <f t="shared" si="1"/>
        <v>52817</v>
      </c>
      <c r="F33" s="1670">
        <f t="shared" si="1"/>
        <v>11719</v>
      </c>
      <c r="G33" s="1670">
        <f t="shared" si="1"/>
        <v>0</v>
      </c>
      <c r="H33" s="1670">
        <f t="shared" si="1"/>
        <v>0</v>
      </c>
      <c r="I33" s="1670">
        <f t="shared" si="1"/>
        <v>0</v>
      </c>
      <c r="J33" s="1670">
        <f t="shared" si="1"/>
        <v>0</v>
      </c>
      <c r="K33" s="1670">
        <f t="shared" si="1"/>
        <v>642720</v>
      </c>
      <c r="L33" s="1670">
        <f t="shared" si="1"/>
        <v>645393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44736</v>
      </c>
      <c r="D36" s="481">
        <v>6573</v>
      </c>
      <c r="E36" s="481">
        <v>68</v>
      </c>
      <c r="F36" s="481"/>
      <c r="G36" s="481"/>
      <c r="H36" s="481"/>
      <c r="I36" s="467"/>
      <c r="J36" s="467"/>
      <c r="K36" s="1671">
        <f t="shared" ref="K36:K41" si="2">SUM(C36:J36)</f>
        <v>51377</v>
      </c>
      <c r="L36" s="466">
        <v>54287</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75595</v>
      </c>
      <c r="D38" s="466">
        <v>17849</v>
      </c>
      <c r="E38" s="466">
        <v>1208</v>
      </c>
      <c r="F38" s="466">
        <v>1468</v>
      </c>
      <c r="G38" s="466"/>
      <c r="H38" s="466"/>
      <c r="I38" s="467"/>
      <c r="J38" s="467"/>
      <c r="K38" s="1671">
        <f t="shared" si="2"/>
        <v>96120</v>
      </c>
      <c r="L38" s="466">
        <v>91684</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85496</v>
      </c>
      <c r="D40" s="466">
        <v>12333</v>
      </c>
      <c r="E40" s="466">
        <v>16024</v>
      </c>
      <c r="F40" s="466">
        <v>3303</v>
      </c>
      <c r="G40" s="466">
        <v>778</v>
      </c>
      <c r="H40" s="466"/>
      <c r="I40" s="467"/>
      <c r="J40" s="467"/>
      <c r="K40" s="1671">
        <f t="shared" si="2"/>
        <v>117934</v>
      </c>
      <c r="L40" s="466">
        <v>72673</v>
      </c>
    </row>
    <row r="41" spans="1:14" x14ac:dyDescent="0.2">
      <c r="A41" s="1504" t="s">
        <v>1669</v>
      </c>
      <c r="B41" s="614">
        <v>2190</v>
      </c>
      <c r="C41" s="466">
        <v>23488</v>
      </c>
      <c r="D41" s="466">
        <v>3897</v>
      </c>
      <c r="E41" s="466">
        <v>172</v>
      </c>
      <c r="F41" s="466">
        <v>480</v>
      </c>
      <c r="G41" s="466"/>
      <c r="H41" s="466"/>
      <c r="I41" s="467"/>
      <c r="J41" s="467"/>
      <c r="K41" s="1671">
        <f t="shared" si="2"/>
        <v>28037</v>
      </c>
      <c r="L41" s="466">
        <v>31635</v>
      </c>
    </row>
    <row r="42" spans="1:14" ht="12.75" customHeight="1" thickBot="1" x14ac:dyDescent="0.25">
      <c r="A42" s="1668" t="s">
        <v>560</v>
      </c>
      <c r="B42" s="1669" t="s">
        <v>716</v>
      </c>
      <c r="C42" s="1670">
        <f>SUM(C36:C41)</f>
        <v>229315</v>
      </c>
      <c r="D42" s="1670">
        <f t="shared" ref="D42:L42" si="3">SUM(D36:D41)</f>
        <v>40652</v>
      </c>
      <c r="E42" s="1670">
        <f t="shared" si="3"/>
        <v>17472</v>
      </c>
      <c r="F42" s="1670">
        <f t="shared" si="3"/>
        <v>5251</v>
      </c>
      <c r="G42" s="1670">
        <f t="shared" si="3"/>
        <v>778</v>
      </c>
      <c r="H42" s="1670">
        <f t="shared" si="3"/>
        <v>0</v>
      </c>
      <c r="I42" s="1670">
        <f t="shared" si="3"/>
        <v>0</v>
      </c>
      <c r="J42" s="1670">
        <f t="shared" si="3"/>
        <v>0</v>
      </c>
      <c r="K42" s="1670">
        <f t="shared" si="3"/>
        <v>293468</v>
      </c>
      <c r="L42" s="1670">
        <f t="shared" si="3"/>
        <v>250279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6421</v>
      </c>
      <c r="F44" s="481"/>
      <c r="G44" s="481"/>
      <c r="H44" s="481"/>
      <c r="I44" s="467"/>
      <c r="J44" s="467"/>
      <c r="K44" s="1672">
        <f>SUM(C44:J44)</f>
        <v>6421</v>
      </c>
      <c r="L44" s="481">
        <v>5613</v>
      </c>
    </row>
    <row r="45" spans="1:14" x14ac:dyDescent="0.2">
      <c r="A45" s="1504" t="s">
        <v>815</v>
      </c>
      <c r="B45" s="614">
        <v>2220</v>
      </c>
      <c r="C45" s="466"/>
      <c r="D45" s="466"/>
      <c r="E45" s="466">
        <v>1849</v>
      </c>
      <c r="F45" s="466"/>
      <c r="G45" s="466"/>
      <c r="H45" s="466"/>
      <c r="I45" s="467"/>
      <c r="J45" s="467"/>
      <c r="K45" s="1672">
        <f>SUM(C45:J45)</f>
        <v>1849</v>
      </c>
      <c r="L45" s="466">
        <v>2500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8270</v>
      </c>
      <c r="F47" s="1670">
        <f t="shared" si="4"/>
        <v>0</v>
      </c>
      <c r="G47" s="1670">
        <f t="shared" si="4"/>
        <v>0</v>
      </c>
      <c r="H47" s="1670">
        <f t="shared" si="4"/>
        <v>0</v>
      </c>
      <c r="I47" s="1670">
        <f t="shared" si="4"/>
        <v>0</v>
      </c>
      <c r="J47" s="1670">
        <f t="shared" si="4"/>
        <v>0</v>
      </c>
      <c r="K47" s="1670">
        <f t="shared" si="4"/>
        <v>8270</v>
      </c>
      <c r="L47" s="1670">
        <f>SUM(L44:L46)</f>
        <v>8113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7563</v>
      </c>
      <c r="F49" s="481"/>
      <c r="G49" s="481"/>
      <c r="H49" s="481"/>
      <c r="I49" s="467"/>
      <c r="J49" s="467"/>
      <c r="K49" s="1672">
        <f>SUM(C49:J49)</f>
        <v>7563</v>
      </c>
      <c r="L49" s="481">
        <v>11400</v>
      </c>
    </row>
    <row r="50" spans="1:14" x14ac:dyDescent="0.2">
      <c r="A50" s="1504" t="s">
        <v>818</v>
      </c>
      <c r="B50" s="614">
        <v>2320</v>
      </c>
      <c r="C50" s="466">
        <v>126627</v>
      </c>
      <c r="D50" s="466">
        <v>4070</v>
      </c>
      <c r="E50" s="466">
        <v>50316</v>
      </c>
      <c r="F50" s="466">
        <v>1628</v>
      </c>
      <c r="G50" s="466"/>
      <c r="H50" s="466">
        <v>6919</v>
      </c>
      <c r="I50" s="467"/>
      <c r="J50" s="467"/>
      <c r="K50" s="1672">
        <f>SUM(C50:J50)</f>
        <v>189560</v>
      </c>
      <c r="L50" s="466">
        <v>198472</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v>30317</v>
      </c>
      <c r="F52" s="474"/>
      <c r="G52" s="474"/>
      <c r="H52" s="474"/>
      <c r="I52" s="474"/>
      <c r="J52" s="474"/>
      <c r="K52" s="1672">
        <f>SUM(C52:J52)</f>
        <v>30317</v>
      </c>
      <c r="L52" s="474">
        <v>13000</v>
      </c>
    </row>
    <row r="53" spans="1:14" ht="12.75" customHeight="1" thickBot="1" x14ac:dyDescent="0.25">
      <c r="A53" s="1668" t="s">
        <v>717</v>
      </c>
      <c r="B53" s="1669" t="s">
        <v>33</v>
      </c>
      <c r="C53" s="1670">
        <f>SUM(C49:C52)</f>
        <v>126627</v>
      </c>
      <c r="D53" s="1670">
        <f t="shared" ref="D53:L53" si="5">SUM(D49:D52)</f>
        <v>4070</v>
      </c>
      <c r="E53" s="1670">
        <f t="shared" si="5"/>
        <v>88196</v>
      </c>
      <c r="F53" s="1670">
        <f t="shared" si="5"/>
        <v>1628</v>
      </c>
      <c r="G53" s="1670">
        <f t="shared" si="5"/>
        <v>0</v>
      </c>
      <c r="H53" s="1670">
        <f t="shared" si="5"/>
        <v>6919</v>
      </c>
      <c r="I53" s="1670">
        <f t="shared" si="5"/>
        <v>0</v>
      </c>
      <c r="J53" s="1670">
        <f t="shared" si="5"/>
        <v>0</v>
      </c>
      <c r="K53" s="1670">
        <f t="shared" si="5"/>
        <v>227440</v>
      </c>
      <c r="L53" s="1670">
        <f t="shared" si="5"/>
        <v>222872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v>0</v>
      </c>
    </row>
    <row r="56" spans="1:14" ht="12.75" customHeight="1" x14ac:dyDescent="0.2">
      <c r="A56" s="1508" t="s">
        <v>376</v>
      </c>
      <c r="B56" s="628">
        <v>2490</v>
      </c>
      <c r="C56" s="466">
        <v>30074</v>
      </c>
      <c r="D56" s="466">
        <v>3618</v>
      </c>
      <c r="E56" s="466">
        <v>508</v>
      </c>
      <c r="F56" s="466"/>
      <c r="G56" s="466"/>
      <c r="H56" s="466"/>
      <c r="I56" s="467"/>
      <c r="J56" s="467"/>
      <c r="K56" s="1672">
        <f>SUM(C56:J56)</f>
        <v>34200</v>
      </c>
      <c r="L56" s="466">
        <v>35843</v>
      </c>
    </row>
    <row r="57" spans="1:14" s="343" customFormat="1" ht="12.75" customHeight="1" thickBot="1" x14ac:dyDescent="0.25">
      <c r="A57" s="1668" t="s">
        <v>263</v>
      </c>
      <c r="B57" s="1673" t="s">
        <v>34</v>
      </c>
      <c r="C57" s="1674">
        <f>SUM(C55:C56)</f>
        <v>30074</v>
      </c>
      <c r="D57" s="1674">
        <f t="shared" ref="D57:K57" si="6">SUM(D55:D56)</f>
        <v>3618</v>
      </c>
      <c r="E57" s="1674">
        <f t="shared" si="6"/>
        <v>508</v>
      </c>
      <c r="F57" s="1674">
        <f t="shared" si="6"/>
        <v>0</v>
      </c>
      <c r="G57" s="1674">
        <f t="shared" si="6"/>
        <v>0</v>
      </c>
      <c r="H57" s="1674">
        <f t="shared" si="6"/>
        <v>0</v>
      </c>
      <c r="I57" s="1674">
        <f t="shared" si="6"/>
        <v>0</v>
      </c>
      <c r="J57" s="1674">
        <f t="shared" si="6"/>
        <v>0</v>
      </c>
      <c r="K57" s="1674">
        <f t="shared" si="6"/>
        <v>34200</v>
      </c>
      <c r="L57" s="1670">
        <f>SUM(L55:L56)</f>
        <v>35843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c r="D60" s="466"/>
      <c r="E60" s="466">
        <v>8650</v>
      </c>
      <c r="F60" s="466"/>
      <c r="G60" s="466"/>
      <c r="H60" s="466"/>
      <c r="I60" s="467"/>
      <c r="J60" s="467"/>
      <c r="K60" s="1672">
        <f t="shared" si="7"/>
        <v>8650</v>
      </c>
      <c r="L60" s="466">
        <v>8650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c r="D63" s="466"/>
      <c r="E63" s="466"/>
      <c r="F63" s="466"/>
      <c r="G63" s="466"/>
      <c r="H63" s="466"/>
      <c r="I63" s="467"/>
      <c r="J63" s="467"/>
      <c r="K63" s="1672">
        <f t="shared" si="7"/>
        <v>0</v>
      </c>
      <c r="L63" s="466">
        <v>0</v>
      </c>
    </row>
    <row r="64" spans="1:14" s="609" customFormat="1" x14ac:dyDescent="0.2">
      <c r="A64" s="1509" t="s">
        <v>101</v>
      </c>
      <c r="B64" s="630">
        <v>2570</v>
      </c>
      <c r="C64" s="481"/>
      <c r="D64" s="481"/>
      <c r="E64" s="481"/>
      <c r="F64" s="481">
        <v>153</v>
      </c>
      <c r="G64" s="481"/>
      <c r="H64" s="481"/>
      <c r="I64" s="467"/>
      <c r="J64" s="467"/>
      <c r="K64" s="1672">
        <f t="shared" si="7"/>
        <v>153</v>
      </c>
      <c r="L64" s="481">
        <v>90250</v>
      </c>
    </row>
    <row r="65" spans="1:14" s="343" customFormat="1" ht="12.75" customHeight="1" thickBot="1" x14ac:dyDescent="0.25">
      <c r="A65" s="1668" t="s">
        <v>719</v>
      </c>
      <c r="B65" s="1669" t="s">
        <v>35</v>
      </c>
      <c r="C65" s="1670">
        <f>SUM(C59:C64)</f>
        <v>0</v>
      </c>
      <c r="D65" s="1670">
        <f t="shared" ref="D65:L65" si="8">SUM(D59:D64)</f>
        <v>0</v>
      </c>
      <c r="E65" s="1670">
        <f t="shared" si="8"/>
        <v>8650</v>
      </c>
      <c r="F65" s="1670">
        <f t="shared" si="8"/>
        <v>153</v>
      </c>
      <c r="G65" s="1670">
        <f t="shared" si="8"/>
        <v>0</v>
      </c>
      <c r="H65" s="1670">
        <f t="shared" si="8"/>
        <v>0</v>
      </c>
      <c r="I65" s="1670">
        <f t="shared" si="8"/>
        <v>0</v>
      </c>
      <c r="J65" s="1670">
        <f t="shared" si="8"/>
        <v>0</v>
      </c>
      <c r="K65" s="1670">
        <f t="shared" si="8"/>
        <v>8803</v>
      </c>
      <c r="L65" s="1670">
        <f t="shared" si="8"/>
        <v>98900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386016</v>
      </c>
      <c r="D74" s="1677">
        <f t="shared" ref="D74:K74" si="10">SUM(D42,D47,D53,D57,D65,D72,D73)</f>
        <v>48340</v>
      </c>
      <c r="E74" s="1677">
        <f t="shared" si="10"/>
        <v>123096</v>
      </c>
      <c r="F74" s="1677">
        <f t="shared" si="10"/>
        <v>7032</v>
      </c>
      <c r="G74" s="1677">
        <f t="shared" si="10"/>
        <v>778</v>
      </c>
      <c r="H74" s="1677">
        <f t="shared" si="10"/>
        <v>6919</v>
      </c>
      <c r="I74" s="1677">
        <f t="shared" si="10"/>
        <v>0</v>
      </c>
      <c r="J74" s="1677">
        <f t="shared" si="10"/>
        <v>0</v>
      </c>
      <c r="K74" s="1677">
        <f t="shared" si="10"/>
        <v>572181</v>
      </c>
      <c r="L74" s="1677">
        <f>SUM(L42,L47,L53,L57,L65,L72,L73)</f>
        <v>616007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v>1120895</v>
      </c>
      <c r="I94" s="477"/>
      <c r="J94" s="477"/>
      <c r="K94" s="1677">
        <f t="shared" si="12"/>
        <v>1120895</v>
      </c>
      <c r="L94" s="530">
        <v>1073611</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1120895</v>
      </c>
      <c r="I100" s="477"/>
      <c r="J100" s="477"/>
      <c r="K100" s="1677">
        <f>SUM(K93:K99)</f>
        <v>1120895</v>
      </c>
      <c r="L100" s="1677">
        <f>SUM(L93:L99)</f>
        <v>1073611</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1120895</v>
      </c>
      <c r="I102" s="477"/>
      <c r="J102" s="477"/>
      <c r="K102" s="1677">
        <f>SUM(K84,K92,K100,K101)</f>
        <v>1120895</v>
      </c>
      <c r="L102" s="1677">
        <f>SUM(L84,L92,L100,L101)</f>
        <v>1073611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864819</v>
      </c>
      <c r="D114" s="1670">
        <f t="shared" ref="D114:K114" si="13">SUM(D33,D74,D75,D102,D112,D113)</f>
        <v>147721</v>
      </c>
      <c r="E114" s="1670">
        <f t="shared" si="13"/>
        <v>175913</v>
      </c>
      <c r="F114" s="1670">
        <f t="shared" si="13"/>
        <v>18751</v>
      </c>
      <c r="G114" s="1670">
        <f t="shared" si="13"/>
        <v>778</v>
      </c>
      <c r="H114" s="1670">
        <f>SUM(H33,H74,H75,H102,H112,H113)</f>
        <v>1127814</v>
      </c>
      <c r="I114" s="1670">
        <f t="shared" si="13"/>
        <v>0</v>
      </c>
      <c r="J114" s="1670">
        <f t="shared" si="13"/>
        <v>0</v>
      </c>
      <c r="K114" s="1670">
        <f t="shared" si="13"/>
        <v>2335796</v>
      </c>
      <c r="L114" s="1670">
        <f>SUM(L33,L74,L75,L102,L112,L113)</f>
        <v>2335011</v>
      </c>
    </row>
    <row r="115" spans="1:14" ht="13.5" thickTop="1" x14ac:dyDescent="0.2">
      <c r="A115" s="2187" t="s">
        <v>996</v>
      </c>
      <c r="B115" s="2188"/>
      <c r="C115" s="618"/>
      <c r="D115" s="618"/>
      <c r="E115" s="618"/>
      <c r="F115" s="618"/>
      <c r="G115" s="618"/>
      <c r="H115" s="618"/>
      <c r="I115" s="618"/>
      <c r="J115" s="618"/>
      <c r="K115" s="1684">
        <f>'Revenues 9-14'!C268-'Expenditures 15-22'!K114</f>
        <v>-197528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2" t="s">
        <v>296</v>
      </c>
      <c r="B117" s="219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c r="D124" s="466"/>
      <c r="E124" s="466"/>
      <c r="F124" s="466"/>
      <c r="G124" s="466"/>
      <c r="H124" s="466"/>
      <c r="I124" s="467"/>
      <c r="J124" s="467"/>
      <c r="K124" s="1670">
        <f>SUM(C124:J124)</f>
        <v>0</v>
      </c>
      <c r="L124" s="466">
        <v>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204" t="s">
        <v>620</v>
      </c>
      <c r="B151" s="2184"/>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207" t="s">
        <v>1178</v>
      </c>
      <c r="B152" s="2208"/>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2" t="s">
        <v>621</v>
      </c>
      <c r="B154" s="219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v>0</v>
      </c>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0</v>
      </c>
    </row>
    <row r="170" spans="1:14" ht="33.75" customHeight="1" x14ac:dyDescent="0.2">
      <c r="A170" s="669" t="s">
        <v>1670</v>
      </c>
      <c r="B170" s="671" t="s">
        <v>31</v>
      </c>
      <c r="C170" s="616"/>
      <c r="D170" s="616"/>
      <c r="E170" s="616"/>
      <c r="F170" s="616"/>
      <c r="G170" s="616"/>
      <c r="H170" s="569"/>
      <c r="I170" s="616"/>
      <c r="J170" s="616"/>
      <c r="K170" s="1671">
        <f>SUM(C170:J170)</f>
        <v>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7" t="s">
        <v>996</v>
      </c>
      <c r="B175" s="2188"/>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v>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7" t="s">
        <v>996</v>
      </c>
      <c r="B211" s="2188"/>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9" t="s">
        <v>965</v>
      </c>
      <c r="B213" s="221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1802</v>
      </c>
      <c r="B249" s="683" t="s">
        <v>282</v>
      </c>
      <c r="C249" s="616"/>
      <c r="D249" s="474"/>
      <c r="E249" s="616"/>
      <c r="F249" s="616"/>
      <c r="G249" s="616"/>
      <c r="H249" s="616"/>
      <c r="I249" s="616"/>
      <c r="J249" s="616"/>
      <c r="K249" s="1672">
        <f t="shared" si="21"/>
        <v>0</v>
      </c>
      <c r="L249" s="466">
        <v>0</v>
      </c>
    </row>
    <row r="250" spans="1:12" x14ac:dyDescent="0.2">
      <c r="A250" s="1505" t="s">
        <v>1803</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1801</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c r="E264" s="616"/>
      <c r="F264" s="616"/>
      <c r="G264" s="616"/>
      <c r="H264" s="616"/>
      <c r="I264" s="616"/>
      <c r="J264" s="616"/>
      <c r="K264" s="1672">
        <f t="shared" ref="K264:K269" si="22">D264</f>
        <v>0</v>
      </c>
      <c r="L264" s="466">
        <v>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205" t="s">
        <v>505</v>
      </c>
      <c r="B295" s="2206"/>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7" t="s">
        <v>996</v>
      </c>
      <c r="B296" s="2188"/>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7" t="s">
        <v>143</v>
      </c>
      <c r="B298" s="219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202" t="s">
        <v>277</v>
      </c>
      <c r="B312" s="220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98" t="s">
        <v>996</v>
      </c>
      <c r="B313" s="219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1" t="s">
        <v>149</v>
      </c>
      <c r="B315" s="221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3" t="s">
        <v>898</v>
      </c>
      <c r="B317" s="221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200" t="s">
        <v>996</v>
      </c>
      <c r="B343" s="220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0" t="s">
        <v>966</v>
      </c>
      <c r="B345" s="219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v>0</v>
      </c>
    </row>
    <row r="355" spans="1:14" ht="12.75" customHeight="1" x14ac:dyDescent="0.2">
      <c r="A355" s="1513" t="s">
        <v>1850</v>
      </c>
      <c r="B355" s="690" t="s">
        <v>1843</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7" t="s">
        <v>996</v>
      </c>
      <c r="B368" s="218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sharepoint/v3"/>
    <ds:schemaRef ds:uri="http://purl.org/dc/elements/1.1/"/>
    <ds:schemaRef ds:uri="http://schemas.microsoft.com/office/2006/documentManagement/types"/>
    <ds:schemaRef ds:uri="http://www.w3.org/XML/1998/namespace"/>
    <ds:schemaRef ds:uri="6ce3111e-7420-4802-b50a-75d4e9a0b980"/>
    <ds:schemaRef ds:uri="http://purl.org/dc/terms/"/>
    <ds:schemaRef ds:uri="http://schemas.microsoft.com/office/infopath/2007/PartnerControls"/>
    <ds:schemaRef ds:uri="4d435f69-8686-490b-bd6d-b153bf22ab50"/>
    <ds:schemaRef ds:uri="d21dc803-237d-4c68-8692-8d731fd2911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SEFA NOTES (2)</vt:lpstr>
      <vt:lpstr>SF&amp;QC Sec-1</vt:lpstr>
      <vt:lpstr>SF&amp;QC Sec-2</vt:lpstr>
      <vt:lpstr>SF&amp;QC Sec-3</vt:lpstr>
      <vt:lpstr>SSPAF</vt:lpstr>
      <vt:lpstr>' SEFA'!Print_Area</vt:lpstr>
      <vt:lpstr>' SEFA (2)'!Print_Area</vt:lpstr>
      <vt:lpstr>'SEFA NOTES'!Print_Area</vt:lpstr>
      <vt:lpstr>'SEFA NOTES (2)'!Print_Area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2019-10-09T17:32:58Z</cp:lastPrinted>
  <dcterms:created xsi:type="dcterms:W3CDTF">2003-10-29T19:06:34Z</dcterms:created>
  <dcterms:modified xsi:type="dcterms:W3CDTF">2019-12-27T19:54:03Z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