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2)" sheetId="183"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7">'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7">#REF!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7">#REF!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7">#REF!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7">#REF!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G30" i="108" l="1"/>
  <c r="F38" i="34"/>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L16" i="11" l="1"/>
  <c r="B2061" i="106" s="1"/>
  <c r="D2061" i="106" s="1"/>
  <c r="N23" i="3"/>
  <c r="B284" i="106" s="1"/>
  <c r="D284" i="106" s="1"/>
  <c r="C114" i="29"/>
  <c r="B757" i="106" s="1"/>
  <c r="D757" i="106" s="1"/>
  <c r="B1381" i="106"/>
  <c r="D1381"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<sst xmlns="http://schemas.openxmlformats.org/spreadsheetml/2006/main" count="5160" uniqueCount="2124">
  <si>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</si>
  <si>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</si>
  <si>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</si>
  <si>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</si>
  <si>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</si>
  <si>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</si>
  <si>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</si>
  <si>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</si>
  <si>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</si>
  <si>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</si>
  <si>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</si>
  <si>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</si>
  <si>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</si>
  <si>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</si>
  <si>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</si>
  <si>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</si>
  <si>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</si>
  <si>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</si>
  <si>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</si>
  <si>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</si>
  <si>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</si>
  <si>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</si>
  <si>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</si>
  <si>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</si>
  <si>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</si>
  <si>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</si>
  <si>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</si>
  <si>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</si>
  <si>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</si>
  <si>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</si>
  <si>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</si>
  <si>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</si>
  <si>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</si>
  <si>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</si>
  <si>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</si>
  <si>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</si>
  <si>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</si>
  <si>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</si>
  <si>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</si>
  <si>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</si>
  <si>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</si>
  <si>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</si>
  <si>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</si>
  <si>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</si>
  <si>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</si>
  <si>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</si>
  <si>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</si>
  <si>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</si>
  <si>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</si>
  <si>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</si>
  <si>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</si>
  <si>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</si>
  <si>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</si>
  <si>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</si>
  <si>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</si>
  <si>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</si>
  <si>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</si>
  <si>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</si>
  <si>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</si>
  <si>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</si>
  <si>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</si>
  <si>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</si>
  <si>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</si>
  <si>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</si>
  <si>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</si>
  <si>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</si>
  <si>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</si>
  <si>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</si>
  <si>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</si>
  <si>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</si>
  <si>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</si>
  <si>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</si>
  <si>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</si>
  <si>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</si>
  <si>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</si>
  <si>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</si>
  <si>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</si>
  <si>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</si>
  <si>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</si>
  <si>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</si>
  <si>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</si>
  <si>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</si>
  <si>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</si>
  <si>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</si>
  <si>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</si>
  <si>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</si>
  <si>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</si>
  <si>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</si>
  <si>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</si>
  <si>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</si>
  <si>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</si>
  <si>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</si>
  <si>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</si>
  <si>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</si>
  <si>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</si>
  <si>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</si>
  <si>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</si>
  <si>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</si>
  <si>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</si>
  <si>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</si>
  <si>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</si>
  <si>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</si>
  <si>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</si>
  <si>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</si>
  <si>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</si>
  <si>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</si>
  <si>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</si>
  <si>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</si>
  <si>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</si>
  <si>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</si>
  <si>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</si>
  <si>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</si>
  <si>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</si>
  <si>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</si>
  <si>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</si>
  <si>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</si>
  <si>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</si>
  <si>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</si>
  <si>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</si>
  <si>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</si>
  <si>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</si>
  <si>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</si>
  <si>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</si>
  <si>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</si>
  <si>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</si>
  <si>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</si>
  <si>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</si>
  <si>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</si>
  <si>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</si>
  <si>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</si>
  <si>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</si>
  <si>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</si>
  <si>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</si>
  <si>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</si>
  <si>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</si>
  <si>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</si>
  <si>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</si>
  <si>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</si>
  <si>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</si>
  <si>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</si>
  <si>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</si>
  <si>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</si>
  <si>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</si>
  <si>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</si>
  <si>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</si>
  <si>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</si>
  <si>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</si>
  <si>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</si>
  <si>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</si>
  <si>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</si>
  <si>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</si>
  <si>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</si>
  <si>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</si>
  <si>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</si>
  <si>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</si>
  <si>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</si>
  <si>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</si>
  <si>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</si>
  <si>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</si>
  <si>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</si>
  <si>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</si>
  <si>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</si>
  <si>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</si>
  <si>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</si>
  <si>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</si>
  <si>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</si>
  <si>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</si>
  <si>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</si>
  <si>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</si>
  <si>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</si>
  <si>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</si>
  <si>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</si>
  <si>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</si>
  <si>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</si>
  <si>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</si>
  <si>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</si>
  <si>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</si>
  <si>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</si>
  <si>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</si>
  <si>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</si>
  <si>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</si>
  <si>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</si>
  <si>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</si>
  <si>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</si>
  <si>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</si>
  <si>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</si>
  <si>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</si>
  <si>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</si>
  <si>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</si>
  <si>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</si>
  <si>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</si>
  <si>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</si>
  <si>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</si>
  <si>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</si>
  <si>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</si>
  <si>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</si>
  <si>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</si>
  <si>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</si>
  <si>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</si>
  <si>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</si>
  <si>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</si>
  <si>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</si>
  <si>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</si>
  <si>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</si>
  <si>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</si>
  <si>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</si>
  <si>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</si>
  <si>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</si>
  <si>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</si>
  <si>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</si>
  <si>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</si>
  <si>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</si>
  <si>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</si>
  <si>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</si>
  <si>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</si>
  <si>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</si>
  <si>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</si>
  <si>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</si>
  <si>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</si>
  <si>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</si>
  <si>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</si>
  <si>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</si>
  <si>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</si>
  <si>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</si>
  <si>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</si>
  <si>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</si>
  <si>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</si>
  <si>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</si>
  <si>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</si>
  <si>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</si>
  <si>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</si>
  <si>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</si>
  <si>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</si>
  <si>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</si>
  <si>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</si>
  <si>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</si>
  <si>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</si>
  <si>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</si>
  <si>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</si>
  <si>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</si>
  <si>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</si>
  <si>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</si>
  <si>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</si>
  <si>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</si>
  <si>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</si>
  <si>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</si>
  <si>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</si>
  <si>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</si>
  <si>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</si>
  <si>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</si>
  <si>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</si>
  <si>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</si>
  <si>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</si>
  <si>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</si>
  <si>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</si>
  <si>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</si>
  <si>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</si>
  <si>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</si>
  <si>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</si>
  <si>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</si>
  <si>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</si>
  <si>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</si>
  <si>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</si>
  <si>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</si>
  <si>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</si>
  <si>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</si>
  <si>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</si>
  <si>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</si>
  <si>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</si>
  <si>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</si>
  <si>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</si>
  <si>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</si>
  <si>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</si>
  <si>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</si>
  <si>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</si>
  <si>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</si>
  <si>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</si>
  <si>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</si>
  <si>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</si>
  <si>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</si>
  <si>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</si>
  <si>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</si>
  <si>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</si>
  <si>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</si>
  <si>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</si>
  <si>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</si>
  <si>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</si>
  <si>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</si>
  <si>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</si>
  <si>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</si>
  <si>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</si>
  <si>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</si>
  <si>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</si>
  <si>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</si>
  <si>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</si>
  <si>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</si>
  <si>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</si>
  <si>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</si>
  <si>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</si>
  <si>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</si>
  <si>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</si>
  <si>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</si>
  <si>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</si>
  <si>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</si>
  <si>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</si>
  <si>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</si>
  <si>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</si>
  <si>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</si>
  <si>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</si>
  <si>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</si>
  <si>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</si>
  <si>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</si>
  <si>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</si>
  <si>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</si>
  <si>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</si>
  <si>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</si>
  <si>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</si>
  <si>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</si>
  <si>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</si>
  <si>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</si>
  <si>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</si>
  <si>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</si>
  <si>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</si>
  <si>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</si>
  <si>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</si>
  <si>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</si>
  <si>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</si>
  <si>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</si>
  <si>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</si>
  <si>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</si>
  <si>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</si>
  <si>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</si>
  <si>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</si>
  <si>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</si>
  <si>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</si>
  <si>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</si>
  <si>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</si>
  <si>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</si>
  <si>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</si>
  <si>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</si>
  <si>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</si>
  <si>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</si>
  <si>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</si>
  <si>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</si>
  <si>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</si>
  <si>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</si>
  <si>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</si>
  <si>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</si>
  <si>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</si>
  <si>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</si>
  <si>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</si>
  <si>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</si>
  <si>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</si>
  <si>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</si>
  <si>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</si>
  <si>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</si>
  <si>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</si>
  <si>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</si>
  <si>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</si>
  <si>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</si>
  <si>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</si>
  <si>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</si>
  <si>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</si>
  <si>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</si>
  <si>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</si>
  <si>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</si>
  <si>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</si>
  <si>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</si>
  <si>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</si>
  <si>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</si>
  <si>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</si>
  <si>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</si>
  <si>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</si>
  <si>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</si>
  <si>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</si>
  <si>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</si>
  <si>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</si>
  <si>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</si>
  <si>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</si>
  <si>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</si>
  <si>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</si>
  <si>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</si>
  <si>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</si>
  <si>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</si>
  <si>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</si>
  <si>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</si>
  <si>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</si>
  <si>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</si>
  <si>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</si>
  <si>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</si>
  <si>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</si>
  <si>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</si>
  <si>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</si>
  <si>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</si>
  <si>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</si>
  <si>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</si>
  <si>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</si>
  <si>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</si>
  <si>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</si>
  <si>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</si>
  <si>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</si>
  <si>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</si>
  <si>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</si>
  <si>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</si>
  <si>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</si>
  <si>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</si>
  <si>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</si>
  <si>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</si>
  <si>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</si>
  <si>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</si>
  <si>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</si>
  <si>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</si>
  <si>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</si>
  <si>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</si>
  <si>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</si>
  <si>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</si>
  <si>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</si>
  <si>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</si>
  <si>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</si>
  <si>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</si>
  <si>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</si>
  <si>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</si>
  <si>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</si>
  <si>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</si>
  <si>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</si>
  <si>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</si>
  <si>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</si>
  <si>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</si>
  <si>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</si>
  <si>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</si>
  <si>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</si>
  <si>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</si>
  <si>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</si>
  <si>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</si>
  <si>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</si>
  <si>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</si>
  <si>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</si>
  <si>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</si>
  <si>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</si>
  <si>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</si>
  <si>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</si>
  <si>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</si>
  <si>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</si>
  <si>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</si>
  <si>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</si>
  <si>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</si>
  <si>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</si>
  <si>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</si>
  <si>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</si>
  <si>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</si>
  <si>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</si>
  <si>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</si>
  <si>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</si>
  <si>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</si>
  <si>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</si>
  <si>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</si>
  <si>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</si>
  <si>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</si>
  <si>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</si>
  <si>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</si>
  <si>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</si>
  <si>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</si>
  <si>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</si>
  <si>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</si>
  <si>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</si>
  <si>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</si>
  <si>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</si>
  <si>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</si>
  <si>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</si>
  <si>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</si>
  <si>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</si>
  <si>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</si>
  <si>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</si>
  <si>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</si>
  <si>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</si>
  <si>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</si>
  <si>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</si>
  <si>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</si>
  <si>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</si>
  <si>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</si>
  <si>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</si>
  <si>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</si>
  <si>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</si>
  <si>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</si>
  <si>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</si>
  <si>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</si>
  <si>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</si>
  <si>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</si>
  <si>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</si>
  <si>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</si>
  <si>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</si>
  <si>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</si>
  <si>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</si>
  <si>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</si>
  <si>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</si>
  <si>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</si>
  <si>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</si>
  <si>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</si>
  <si>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</si>
  <si>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</si>
  <si>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</si>
  <si>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</si>
  <si>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</si>
  <si>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</si>
  <si>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</si>
  <si>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</si>
  <si>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</si>
  <si>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</si>
  <si>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</si>
  <si>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</si>
  <si>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</si>
  <si>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</si>
  <si>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</si>
  <si>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</si>
  <si>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</si>
  <si>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</si>
  <si>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</si>
  <si>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</si>
  <si>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</si>
  <si>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</si>
  <si>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</si>
  <si>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</si>
  <si>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</si>
  <si>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</si>
  <si>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</si>
  <si>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</si>
  <si>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</si>
  <si>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</si>
  <si>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</si>
  <si>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</si>
  <si>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</si>
  <si>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</si>
  <si>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</si>
  <si>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</si>
  <si>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</si>
  <si>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</si>
  <si>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</si>
  <si>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</si>
  <si>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</si>
  <si>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</si>
  <si>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</si>
  <si>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</si>
  <si>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</si>
  <si>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</si>
  <si>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</si>
  <si>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</si>
  <si>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</si>
  <si>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</si>
  <si>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</si>
  <si>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</si>
  <si>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</si>
  <si>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</si>
  <si>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</si>
  <si>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</si>
  <si>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</si>
  <si>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</si>
  <si>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</si>
  <si>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</si>
  <si>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</si>
  <si>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</si>
  <si>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</si>
  <si>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</si>
  <si>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</si>
  <si>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</si>
  <si>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</si>
  <si>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</si>
  <si>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</si>
  <si>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</si>
  <si>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</si>
  <si>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</si>
  <si>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</si>
  <si>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</si>
  <si>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</si>
  <si>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</si>
  <si>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</si>
  <si>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</si>
  <si>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</si>
  <si>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</si>
  <si>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</si>
  <si>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</si>
  <si>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</si>
  <si>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</si>
  <si>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</si>
  <si>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</si>
  <si>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</si>
  <si>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</si>
  <si>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</si>
  <si>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</si>
  <si>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</si>
  <si>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</si>
  <si>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</si>
  <si>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</si>
  <si>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</si>
  <si>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</si>
  <si>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</si>
  <si>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</si>
  <si>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</si>
  <si>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</si>
  <si>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</si>
  <si>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</si>
  <si>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</si>
  <si>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</si>
  <si>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</si>
  <si>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</si>
  <si>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</si>
  <si>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</si>
  <si>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</si>
  <si>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</si>
  <si>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</si>
  <si>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</si>
  <si>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</si>
  <si>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</si>
  <si>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</si>
  <si>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</si>
  <si>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</si>
  <si>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</si>
  <si>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</si>
  <si>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</si>
  <si>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</si>
  <si>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</si>
  <si>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</si>
  <si>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</si>
  <si>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</si>
  <si>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</si>
  <si>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</si>
  <si>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</si>
  <si>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</si>
  <si>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</si>
  <si>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</si>
  <si>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</si>
  <si>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</si>
  <si>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</si>
  <si>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</si>
  <si>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</si>
  <si>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</si>
  <si>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</si>
  <si>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</si>
  <si>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</si>
  <si>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</si>
  <si>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</si>
  <si>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</si>
  <si>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</si>
  <si>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</si>
  <si>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</si>
  <si>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</si>
  <si>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</si>
  <si>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</si>
  <si>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</si>
  <si>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</si>
  <si>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</si>
  <si>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</si>
  <si>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</si>
  <si>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</si>
  <si>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</si>
  <si>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</si>
  <si>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</si>
  <si>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</si>
  <si>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</si>
  <si>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</si>
  <si>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</si>
  <si>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</si>
  <si>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</si>
  <si>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</si>
  <si>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</si>
  <si>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</si>
  <si>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</si>
  <si>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</si>
  <si>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</si>
  <si>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</si>
  <si>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</si>
  <si>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</si>
  <si>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</si>
  <si>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</si>
  <si>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</si>
  <si>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</si>
  <si>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</si>
  <si>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</si>
  <si>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</si>
  <si>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</si>
  <si>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</si>
  <si>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</si>
  <si>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</si>
  <si>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</si>
  <si>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</si>
  <si>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</si>
  <si>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</si>
  <si>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</si>
  <si>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</si>
  <si>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</si>
  <si>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</si>
  <si>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</si>
  <si>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</si>
  <si>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</si>
  <si>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</si>
  <si>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</si>
  <si>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</si>
  <si>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</si>
  <si>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</si>
  <si>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</si>
  <si>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</si>
  <si>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</si>
  <si>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</si>
  <si>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</si>
  <si>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</si>
  <si>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</si>
  <si>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</si>
  <si>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</si>
  <si>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</si>
  <si>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</si>
  <si>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</si>
  <si>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</si>
  <si>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</si>
  <si>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</si>
  <si>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</si>
  <si>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</si>
  <si>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</si>
  <si>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</si>
  <si>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</si>
  <si>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</si>
  <si>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</si>
  <si>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</si>
  <si>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</si>
  <si>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</si>
  <si>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</si>
  <si>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</si>
  <si>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</si>
  <si>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</si>
  <si>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</si>
  <si>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</si>
  <si>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</si>
  <si>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</si>
  <si>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</si>
  <si>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</si>
  <si>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</si>
  <si>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</si>
  <si>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</si>
  <si>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</si>
  <si>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</si>
  <si>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</si>
  <si>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</si>
  <si>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</si>
  <si>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</si>
  <si>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</si>
  <si>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</si>
  <si>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</si>
  <si>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</si>
  <si>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</si>
  <si>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</si>
  <si>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</si>
  <si>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</si>
  <si>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</si>
  <si>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</si>
  <si>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</si>
  <si>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</si>
  <si>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</si>
  <si>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</si>
  <si>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</si>
  <si>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</si>
  <si>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</si>
  <si>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</si>
  <si>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</si>
  <si>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</si>
  <si>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</si>
  <si>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</si>
  <si>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</si>
  <si>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</si>
  <si>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</si>
  <si>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</si>
  <si>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</si>
  <si>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</si>
  <si>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</si>
  <si>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</si>
  <si>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</si>
  <si>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</si>
  <si>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</si>
  <si>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</si>
  <si>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</si>
  <si>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</si>
  <si>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</si>
  <si>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</si>
  <si>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</si>
  <si>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</si>
  <si>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</si>
  <si>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</si>
  <si>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</si>
  <si>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</si>
  <si>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</si>
  <si>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</si>
  <si>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</si>
  <si>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</si>
  <si>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</si>
  <si>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</si>
  <si>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</si>
  <si>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</si>
  <si>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</si>
  <si>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</si>
  <si>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</si>
  <si>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</si>
  <si>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</si>
  <si>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</si>
  <si>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</si>
  <si>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</si>
  <si>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</si>
  <si>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</si>
  <si>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</si>
  <si>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</si>
  <si>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</si>
  <si>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</si>
  <si>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</si>
  <si>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</si>
  <si>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</si>
  <si>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</si>
  <si>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</si>
  <si>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</si>
  <si>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</si>
  <si>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</si>
  <si>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</si>
  <si>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</si>
  <si>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</si>
  <si>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</si>
  <si>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</si>
  <si>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</si>
  <si>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</si>
  <si>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</si>
  <si>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</si>
  <si>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</si>
  <si>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</si>
  <si>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</si>
  <si>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</si>
  <si>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</si>
  <si>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</si>
  <si>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</si>
  <si>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</si>
  <si>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</si>
  <si>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</si>
  <si>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</si>
  <si>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</si>
  <si>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</si>
  <si>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</si>
  <si>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</si>
  <si>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</si>
  <si>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</si>
  <si>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</si>
  <si>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</si>
  <si>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</si>
  <si>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</si>
  <si>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</si>
  <si>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</si>
  <si>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</si>
  <si>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</si>
  <si>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</si>
  <si>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</si>
  <si>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</si>
  <si>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</si>
  <si>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</si>
  <si>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</si>
  <si>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</si>
  <si>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</si>
  <si>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</si>
  <si>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</si>
  <si>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</si>
  <si>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</si>
  <si>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</si>
  <si>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</si>
  <si>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</si>
  <si>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</si>
  <si>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</si>
  <si>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</si>
  <si>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</si>
  <si>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</si>
  <si>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</si>
  <si>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</si>
  <si>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</si>
  <si>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</si>
  <si>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</si>
  <si>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</si>
  <si>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</si>
  <si>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</si>
  <si>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</si>
  <si>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</si>
  <si>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</si>
  <si>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</si>
  <si>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</si>
  <si>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</si>
  <si>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</si>
  <si>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</si>
  <si>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</si>
  <si>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</si>
  <si>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</si>
  <si>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</si>
  <si>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</si>
  <si>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</si>
  <si>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</si>
  <si>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</si>
  <si>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</si>
  <si>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</si>
  <si>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</si>
  <si>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</si>
  <si>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</si>
  <si>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</si>
  <si>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</si>
  <si>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</si>
  <si>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</si>
  <si>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</si>
  <si>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</si>
  <si>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</si>
  <si>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</si>
  <si>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</si>
  <si>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</si>
  <si>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</si>
  <si>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</si>
  <si>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</si>
  <si>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</si>
  <si>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</si>
  <si>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</si>
  <si>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</si>
  <si>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</si>
  <si>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</si>
  <si>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</si>
  <si>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</si>
  <si>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</si>
  <si>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</si>
  <si>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</si>
  <si>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</si>
  <si>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</si>
  <si>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</si>
  <si>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</si>
  <si>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</si>
  <si>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</si>
  <si>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</si>
  <si>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</si>
  <si>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</si>
  <si>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</si>
  <si>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</si>
  <si>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</si>
  <si>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</si>
  <si>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</si>
  <si>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</si>
  <si>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</si>
  <si>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</si>
  <si>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</si>
  <si>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</si>
  <si>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</si>
  <si>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</si>
  <si>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</si>
  <si>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</si>
  <si>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</si>
  <si>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</si>
  <si>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</si>
  <si>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</si>
  <si>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</si>
  <si>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</si>
  <si>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</si>
  <si>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</si>
  <si>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</si>
  <si>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</si>
  <si>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</si>
  <si>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</si>
  <si>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</si>
  <si>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</si>
  <si>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</si>
  <si>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</si>
  <si>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</si>
  <si>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</si>
  <si>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</si>
  <si>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</si>
  <si>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</si>
  <si>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</si>
  <si>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</si>
  <si>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</si>
  <si>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</si>
  <si>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</si>
  <si>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</si>
  <si>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</si>
  <si>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</si>
  <si>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</si>
  <si>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</si>
  <si>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</si>
  <si>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</si>
  <si>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</si>
  <si>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</si>
  <si>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</si>
  <si>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</si>
  <si>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</si>
  <si>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</si>
  <si>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</si>
  <si>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</si>
  <si>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</si>
  <si>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</si>
  <si>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</si>
  <si>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</si>
  <si>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</si>
  <si>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</si>
  <si>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</si>
  <si>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</si>
  <si>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</si>
  <si>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</si>
  <si>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</si>
  <si>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</si>
  <si>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</si>
  <si>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</si>
  <si>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</si>
  <si>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</si>
  <si>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</si>
  <si>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</si>
  <si>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</si>
  <si>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</si>
  <si>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</si>
  <si>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</si>
  <si>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</si>
  <si>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</si>
  <si>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</si>
  <si>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</si>
  <si>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</si>
  <si>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</si>
  <si>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</si>
  <si>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</si>
  <si>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</si>
  <si>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</si>
  <si>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</si>
  <si>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</si>
  <si>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</si>
  <si>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</si>
  <si>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</si>
  <si>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</si>
  <si>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</si>
  <si>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</si>
  <si>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</si>
  <si>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</si>
  <si>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</si>
  <si>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</si>
  <si>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</si>
  <si>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</si>
  <si>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</si>
  <si>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</si>
  <si>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</si>
  <si>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</si>
  <si>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</si>
  <si>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</si>
  <si>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</si>
  <si>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</si>
  <si>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</si>
  <si>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</si>
  <si>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</si>
  <si>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</si>
  <si>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</si>
  <si>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</si>
  <si>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</si>
  <si>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</si>
  <si>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</si>
  <si>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</si>
  <si>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</si>
  <si>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</si>
  <si>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</si>
  <si>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</si>
  <si>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</si>
  <si>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</si>
  <si>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</si>
  <si>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</si>
  <si>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</si>
  <si>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</si>
  <si>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</si>
  <si>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</si>
  <si>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</si>
  <si>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</si>
  <si>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</si>
  <si>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</si>
  <si>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</si>
  <si>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</si>
  <si>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</si>
  <si>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</si>
  <si>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</si>
  <si>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</si>
  <si>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</si>
  <si>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</si>
  <si>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</si>
  <si>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</si>
  <si>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</si>
  <si>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</si>
  <si>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</si>
  <si>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</si>
  <si>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</si>
  <si>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</si>
  <si>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</si>
  <si>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</si>
  <si>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</si>
  <si>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</si>
  <si>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</si>
  <si>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</si>
  <si>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</si>
  <si>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</si>
  <si>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</si>
  <si>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</si>
  <si>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</si>
  <si>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</si>
  <si>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</si>
  <si>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</si>
  <si>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</si>
  <si>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</si>
  <si>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</si>
  <si>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</si>
  <si>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</si>
  <si>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</si>
  <si>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</si>
  <si>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</si>
  <si>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</si>
  <si>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</si>
  <si>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</si>
  <si>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</si>
  <si>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</si>
  <si>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</si>
  <si>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</si>
  <si>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</si>
  <si>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</si>
  <si>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</si>
  <si>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</si>
  <si>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</si>
  <si>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</si>
  <si>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</si>
  <si>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</si>
  <si>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</si>
  <si>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</si>
  <si>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</si>
  <si>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</si>
  <si>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</si>
  <si>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</si>
  <si>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</si>
  <si>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</si>
  <si>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</si>
  <si>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</si>
  <si>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</si>
  <si>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</si>
  <si>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</si>
  <si>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</si>
  <si>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</si>
  <si>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</si>
  <si>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</si>
  <si>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</si>
  <si>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</si>
  <si>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</si>
  <si>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</si>
  <si>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</si>
  <si>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</si>
  <si>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</si>
  <si>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</si>
  <si>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</si>
  <si>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</si>
  <si>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</si>
  <si>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</si>
  <si>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</si>
  <si>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</si>
  <si>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</si>
  <si>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</si>
  <si>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</si>
  <si>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</si>
  <si>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</si>
  <si>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</si>
  <si>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</si>
  <si>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</si>
  <si>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</si>
  <si>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</si>
  <si>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</si>
  <si>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</si>
  <si>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</si>
  <si>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</si>
  <si>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</si>
  <si>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</si>
  <si>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</si>
  <si>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</si>
  <si>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</si>
  <si>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</si>
  <si>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</si>
  <si>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</si>
  <si>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</si>
  <si>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</si>
  <si>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</si>
  <si>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</si>
  <si>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</si>
  <si>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</si>
  <si>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</si>
  <si>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</si>
  <si>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</si>
  <si>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</si>
  <si>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</si>
  <si>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</si>
  <si>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</si>
  <si>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</si>
  <si>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</si>
  <si>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</si>
  <si>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</si>
  <si>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</si>
  <si>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</si>
  <si>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</si>
  <si>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</si>
  <si>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</si>
  <si>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</si>
  <si>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</si>
  <si>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</si>
  <si>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</si>
  <si>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</si>
  <si>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</si>
  <si>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</si>
  <si>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</si>
  <si>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</si>
  <si>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</si>
  <si>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</si>
  <si>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</si>
  <si>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</si>
  <si>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</si>
  <si>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</si>
  <si>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</si>
  <si>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</si>
  <si>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</si>
  <si>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</si>
  <si>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</si>
  <si>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</si>
  <si>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</si>
  <si>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</si>
  <si>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</si>
  <si>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</si>
  <si>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</si>
  <si>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</si>
  <si>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</si>
  <si>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</si>
  <si>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</si>
  <si>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</si>
  <si>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</si>
  <si>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</si>
  <si>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</si>
  <si>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</si>
  <si>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</si>
  <si>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</si>
  <si>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</si>
  <si>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</si>
  <si>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</si>
  <si>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</si>
  <si>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</si>
  <si>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</si>
  <si>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</si>
  <si>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</si>
  <si>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</si>
  <si>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</si>
  <si>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</si>
  <si>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</si>
  <si>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</si>
  <si>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</si>
  <si>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</si>
  <si>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</si>
  <si>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</si>
  <si>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</si>
  <si>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</si>
  <si>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</si>
  <si>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</si>
  <si>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</si>
  <si>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</si>
  <si>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</si>
  <si>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</si>
  <si>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</si>
  <si>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</si>
  <si>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</si>
  <si>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</si>
  <si>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</si>
  <si>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</si>
  <si>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</si>
  <si>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</si>
  <si>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</si>
  <si>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</si>
  <si>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</si>
  <si>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</si>
  <si>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</si>
  <si>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</si>
  <si>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</si>
  <si>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</si>
  <si>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</si>
  <si>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</si>
  <si>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</si>
  <si>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</si>
  <si>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</si>
  <si>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</si>
  <si>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</si>
  <si>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</si>
  <si>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</si>
  <si>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</si>
  <si>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</si>
  <si>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</si>
  <si>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</si>
  <si>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</si>
  <si>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</si>
  <si>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</si>
  <si>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</si>
  <si>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</si>
  <si>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</si>
  <si>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</si>
  <si>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</si>
  <si>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</si>
  <si>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</si>
  <si>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</si>
  <si>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</si>
  <si>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</si>
  <si>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</si>
  <si>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</si>
  <si>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</si>
  <si>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</si>
  <si>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</si>
  <si>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</si>
  <si>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</si>
  <si>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</si>
  <si>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</si>
  <si>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</si>
  <si>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</si>
  <si>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</si>
  <si>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</si>
  <si>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</si>
  <si>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</si>
  <si>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</si>
  <si>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</si>
  <si>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</si>
  <si>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</si>
  <si>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</si>
  <si>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</si>
  <si>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</si>
  <si>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</si>
  <si>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</si>
  <si>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</si>
  <si>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</si>
  <si>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</si>
  <si>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</si>
  <si>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</si>
  <si>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</si>
  <si>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</si>
  <si>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</si>
  <si>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</si>
  <si>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</si>
  <si>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</si>
  <si>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</si>
  <si>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</si>
  <si>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</si>
  <si>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</si>
  <si>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</si>
  <si>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</si>
  <si>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</si>
  <si>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</si>
  <si>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</si>
  <si>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</si>
  <si>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</si>
  <si>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</si>
  <si>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</si>
  <si>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</si>
  <si>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</si>
  <si>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</si>
  <si>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</si>
  <si>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</si>
  <si>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</si>
  <si>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</si>
  <si>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</si>
  <si>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</si>
  <si>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</si>
  <si>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</si>
  <si>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</si>
  <si>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</si>
  <si>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</si>
  <si>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</si>
  <si>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</si>
  <si>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</si>
  <si>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</si>
  <si>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</si>
  <si>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</si>
  <si>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</si>
  <si>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</si>
  <si>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</si>
  <si>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</si>
  <si>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</si>
  <si>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</si>
  <si>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</si>
  <si>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</si>
  <si>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</si>
  <si>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</si>
  <si>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</si>
  <si>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</si>
  <si>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</si>
  <si>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</si>
  <si>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</si>
  <si>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</si>
  <si>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</si>
  <si>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</si>
  <si>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</si>
  <si>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</si>
  <si>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</si>
  <si>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</si>
  <si>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</si>
  <si>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</si>
  <si>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</si>
  <si>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</si>
  <si>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</si>
  <si>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</si>
  <si>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</si>
  <si>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</si>
  <si>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</si>
  <si>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</si>
  <si>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</si>
  <si>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</si>
  <si>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</si>
  <si>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</si>
  <si>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</si>
  <si>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</si>
  <si>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</si>
  <si>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</si>
  <si>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</si>
  <si>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</si>
  <si>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</si>
  <si>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</si>
  <si>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</si>
  <si>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</si>
  <si>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</si>
  <si>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</si>
  <si>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</si>
  <si>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</si>
  <si>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</si>
  <si>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</si>
  <si>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</si>
  <si>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</si>
  <si>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</si>
  <si>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</si>
  <si>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</si>
  <si>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</si>
  <si>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</si>
  <si>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</si>
  <si>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</si>
  <si>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</si>
  <si>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</si>
  <si>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</si>
  <si>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</si>
  <si>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</si>
  <si>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</si>
  <si>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</si>
  <si>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</si>
  <si>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</si>
  <si>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</si>
  <si>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</si>
  <si>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</si>
  <si>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</si>
  <si>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</si>
  <si>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</si>
  <si>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</si>
  <si>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</si>
  <si>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</si>
  <si>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</si>
  <si>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</si>
  <si>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</si>
  <si>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</si>
  <si>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</si>
  <si>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</si>
  <si>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</si>
  <si>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</si>
  <si>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</si>
  <si>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</si>
  <si>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</si>
  <si>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</si>
  <si>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</si>
  <si>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</si>
  <si>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</si>
  <si>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</si>
  <si>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</si>
  <si>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</si>
  <si>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</si>
  <si>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</si>
  <si>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</si>
  <si>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</si>
  <si>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</si>
  <si>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</si>
  <si>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</si>
  <si>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</si>
  <si>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</si>
  <si>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</si>
  <si>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</si>
  <si>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</si>
  <si>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</si>
  <si>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</si>
  <si>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</si>
  <si>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</si>
  <si>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</si>
  <si>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</si>
  <si>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</si>
  <si>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</si>
  <si>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</si>
  <si>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</si>
  <si>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</si>
  <si>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</si>
  <si>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</si>
  <si>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</si>
  <si>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</si>
  <si>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</si>
  <si>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</si>
  <si>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</si>
  <si>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</si>
  <si>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</si>
  <si>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</si>
  <si>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</si>
  <si>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</si>
  <si>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</si>
  <si>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</si>
  <si>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</si>
  <si>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</si>
  <si>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</si>
  <si>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</si>
  <si>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</si>
  <si>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</si>
  <si>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</si>
  <si>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</si>
  <si>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</si>
  <si>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</si>
  <si>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</si>
  <si>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</si>
  <si>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</si>
  <si>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</si>
  <si>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</si>
  <si>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</si>
  <si>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</si>
  <si>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</si>
  <si>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</si>
  <si>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</si>
  <si>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</si>
  <si>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</si>
  <si>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</si>
  <si>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</si>
  <si>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</si>
  <si>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</si>
  <si>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</si>
  <si>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</si>
  <si>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</si>
  <si>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</si>
  <si>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</si>
  <si>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</si>
  <si>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</si>
  <si>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</si>
  <si>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</si>
  <si>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</si>
  <si>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</si>
  <si>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</si>
  <si>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</si>
  <si>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</si>
  <si>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</si>
  <si>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</si>
  <si>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</si>
  <si>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</si>
  <si>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</si>
  <si>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</si>
  <si>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</si>
  <si>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</si>
  <si>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</si>
  <si>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</si>
  <si>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</si>
  <si>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</si>
  <si>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</si>
  <si>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</si>
  <si>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</si>
  <si>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</si>
  <si>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</si>
  <si>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</si>
  <si>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</si>
  <si>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</si>
  <si>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</si>
  <si>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</si>
  <si>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</si>
  <si>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</si>
  <si>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</si>
  <si>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</si>
  <si>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</si>
  <si>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</si>
  <si>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</si>
  <si>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</si>
  <si>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</si>
  <si>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</si>
  <si>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</si>
  <si>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</si>
  <si>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</si>
  <si>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</si>
  <si>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</si>
  <si>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</si>
  <si>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</si>
  <si>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</si>
  <si>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</si>
  <si>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</si>
  <si>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</si>
  <si>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</si>
  <si>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</si>
  <si>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</si>
  <si>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</si>
  <si>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</si>
  <si>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</si>
  <si>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</si>
  <si>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</si>
  <si>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</si>
  <si>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</si>
  <si>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</si>
  <si>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</si>
  <si>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</si>
  <si>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</si>
  <si>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</si>
  <si>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</si>
  <si>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</si>
  <si>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</si>
  <si>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</si>
  <si>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</si>
  <si>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</si>
  <si>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</si>
  <si>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</si>
  <si>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</si>
  <si>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</si>
  <si>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</si>
  <si>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</si>
  <si>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</si>
  <si>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</si>
  <si>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</si>
  <si>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</si>
  <si>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</si>
  <si>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</si>
  <si>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</si>
  <si>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</si>
  <si>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</si>
  <si>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</si>
  <si>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</si>
  <si>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</si>
  <si>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</si>
  <si>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</si>
  <si>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</si>
  <si>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</si>
  <si>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</si>
  <si>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</si>
  <si>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</si>
  <si>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</si>
  <si>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</si>
  <si>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</si>
  <si>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</si>
  <si>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</si>
  <si>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</si>
  <si>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</si>
  <si>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</si>
  <si>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</si>
  <si>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</si>
  <si>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</si>
  <si>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</si>
  <si>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</si>
  <si>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</si>
  <si>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</si>
  <si>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</si>
  <si>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</si>
  <si>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</si>
  <si>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</si>
  <si>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</si>
  <si>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</si>
  <si>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</si>
  <si>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</si>
  <si>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</si>
  <si>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</si>
  <si>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</si>
  <si>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</si>
  <si>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</si>
  <si>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</si>
  <si>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</si>
  <si>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</si>
  <si>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</si>
  <si>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</si>
  <si>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</si>
  <si>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</si>
  <si>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</si>
  <si>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</si>
  <si>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</si>
  <si>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</si>
  <si>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</si>
  <si>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</si>
  <si>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</si>
  <si>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</si>
  <si>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</si>
  <si>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</si>
  <si>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</si>
  <si>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</si>
  <si>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</si>
  <si>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</si>
  <si>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</si>
  <si>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</si>
  <si>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</si>
  <si>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</si>
  <si>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</si>
  <si>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</si>
  <si>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</si>
  <si>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</si>
  <si>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</si>
  <si>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</si>
  <si>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</si>
  <si>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</si>
  <si>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</si>
  <si>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</si>
  <si>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</si>
  <si>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</si>
  <si>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</si>
  <si>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</si>
  <si>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</si>
  <si>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</si>
  <si>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</si>
  <si>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</si>
  <si>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</si>
  <si>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</si>
  <si>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</si>
  <si>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</si>
  <si>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</si>
  <si>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</si>
  <si>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</si>
  <si>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</si>
  <si>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</si>
  <si>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</si>
  <si>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</si>
  <si>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</si>
  <si>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</si>
  <si>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</si>
  <si>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</si>
  <si>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</si>
  <si>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</si>
  <si>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</si>
  <si>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</si>
  <si>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</si>
  <si>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</si>
  <si>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</si>
  <si>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</si>
  <si>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</si>
  <si>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</si>
  <si>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</si>
  <si>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</si>
  <si>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</si>
  <si>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</si>
  <si>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</si>
  <si>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</si>
  <si>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</si>
  <si>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</si>
  <si>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</si>
  <si>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</si>
  <si>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</si>
  <si>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</si>
  <si>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</si>
  <si>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</si>
  <si>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</si>
  <si>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</si>
  <si>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</si>
  <si>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</si>
  <si>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</si>
  <si>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</si>
  <si>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</si>
  <si>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</si>
  <si>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</si>
  <si>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</si>
  <si>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</si>
  <si>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</si>
  <si>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</si>
  <si>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</si>
  <si>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</si>
  <si>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</si>
  <si>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</si>
  <si>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</si>
  <si>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</si>
  <si>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</si>
  <si>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</si>
  <si>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</si>
  <si>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</si>
  <si>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</si>
  <si>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</si>
  <si>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</si>
  <si>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</si>
  <si>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</si>
  <si>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</si>
  <si>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</si>
  <si>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</si>
  <si>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</si>
  <si>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</si>
  <si>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</si>
  <si>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</si>
  <si>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</si>
  <si>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</si>
  <si>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</si>
  <si>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</si>
  <si>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</si>
  <si>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</si>
  <si>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</si>
  <si>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</si>
  <si>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</si>
  <si>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</si>
  <si>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</si>
  <si>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</si>
  <si>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</si>
  <si>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</si>
  <si>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</si>
  <si>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</si>
  <si>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</si>
  <si>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</si>
  <si>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</si>
  <si>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</si>
  <si>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</si>
  <si>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</si>
  <si>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</si>
  <si>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</si>
  <si>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</si>
  <si>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</si>
  <si>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</si>
  <si>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</si>
  <si>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</si>
  <si>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</si>
  <si>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</si>
  <si>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</si>
  <si>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</si>
  <si>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</si>
  <si>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</si>
  <si>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</si>
  <si>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</si>
  <si>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</si>
  <si>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</si>
  <si>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</si>
  <si>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</si>
  <si>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</si>
  <si>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</si>
  <si>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</si>
  <si>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</si>
  <si>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</si>
  <si>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</si>
  <si>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</si>
  <si>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</si>
  <si>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</si>
  <si>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</si>
  <si>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</si>
  <si>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</si>
  <si>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</si>
  <si>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</si>
  <si>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</si>
  <si>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</si>
  <si>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</si>
  <si>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</si>
  <si>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</si>
  <si>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</si>
  <si>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</si>
  <si>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</si>
  <si>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</si>
  <si>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</si>
  <si>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</si>
  <si>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</si>
  <si>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</si>
  <si>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</si>
  <si>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</si>
  <si>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</si>
  <si>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</si>
  <si>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</si>
  <si>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</si>
  <si>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</si>
  <si>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</si>
  <si>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</si>
  <si>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</si>
  <si>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</si>
  <si>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</si>
  <si>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</si>
  <si>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</si>
  <si>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</si>
  <si>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</si>
  <si>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</si>
  <si>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</si>
  <si>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</si>
  <si>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</si>
  <si>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</si>
  <si>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</si>
  <si>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</si>
  <si>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</si>
  <si>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</si>
  <si>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</si>
  <si>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</si>
  <si>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</si>
  <si>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</si>
  <si>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</si>
  <si>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</si>
  <si>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</si>
  <si>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</si>
  <si>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</si>
  <si>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</si>
  <si>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</si>
  <si>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</si>
  <si>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</si>
  <si>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</si>
  <si>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</si>
  <si>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</si>
  <si>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</si>
  <si>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</si>
  <si>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</si>
  <si>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</si>
  <si>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</si>
  <si>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</si>
  <si>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</si>
  <si>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</si>
  <si>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</si>
  <si>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</si>
  <si>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</si>
  <si>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</si>
  <si>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</si>
  <si>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</si>
  <si>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</si>
  <si>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</si>
  <si>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</si>
  <si>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</si>
  <si>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</si>
  <si>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</si>
  <si>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</si>
  <si>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</si>
  <si>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</si>
  <si>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</si>
  <si>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</si>
  <si>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</si>
  <si>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</si>
  <si>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</si>
  <si>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</si>
  <si>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</si>
  <si>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</si>
  <si>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</si>
  <si>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</si>
  <si>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</si>
  <si>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</si>
  <si>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</si>
  <si>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</si>
  <si>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</si>
  <si>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</si>
  <si>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</si>
  <si>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</si>
  <si>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</si>
  <si>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</si>
  <si>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</si>
  <si>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</si>
  <si>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</si>
  <si>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</si>
  <si>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</si>
  <si>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</si>
  <si>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</si>
  <si>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</si>
  <si>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</si>
  <si>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</si>
  <si>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</si>
  <si>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</si>
  <si>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</si>
  <si>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</si>
  <si>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</si>
  <si>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</si>
  <si>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</si>
  <si>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</si>
  <si>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</si>
  <si>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</si>
  <si>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</si>
  <si>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</si>
  <si>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</si>
  <si>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</si>
  <si>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</si>
  <si>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</si>
  <si>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</si>
  <si>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</si>
  <si>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</si>
  <si>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</si>
  <si>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</si>
  <si>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</si>
  <si>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</si>
  <si>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</si>
  <si>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</si>
  <si>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</si>
  <si>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</si>
  <si>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</si>
  <si>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</si>
  <si>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</si>
  <si>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</si>
  <si>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</si>
  <si>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</si>
  <si>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</si>
  <si>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</si>
  <si>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</si>
  <si>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</si>
  <si>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</si>
  <si>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</si>
  <si>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</si>
  <si>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</si>
  <si>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</si>
  <si>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</si>
  <si>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</si>
  <si>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</si>
  <si>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</si>
  <si>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</si>
  <si>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</si>
  <si>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</si>
  <si>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</si>
  <si>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</si>
  <si>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</si>
  <si>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</si>
  <si>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</si>
  <si>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</si>
  <si>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</si>
  <si>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</si>
  <si>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</si>
  <si>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</si>
  <si>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</si>
  <si>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</si>
  <si>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</si>
  <si>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</si>
  <si>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</si>
  <si>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</si>
  <si>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</si>
  <si>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</si>
  <si>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</si>
  <si>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</si>
  <si>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</si>
  <si>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</si>
  <si>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</si>
  <si>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</si>
  <si>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</si>
  <si>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</si>
  <si>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</si>
  <si>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</si>
  <si>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</si>
  <si>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</si>
  <si>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</si>
  <si>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</si>
  <si>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</si>
  <si>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</si>
  <si>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</si>
  <si>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</si>
  <si>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</si>
  <si>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</si>
  <si>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</si>
  <si>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</si>
  <si>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</si>
  <si>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</si>
  <si>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</si>
  <si>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</si>
  <si>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</si>
  <si>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</si>
  <si>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</si>
  <si>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</si>
  <si>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</si>
  <si>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</si>
  <si>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</si>
  <si>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</si>
  <si>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</si>
  <si>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</si>
  <si>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</si>
  <si>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</si>
  <si>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</si>
  <si>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</si>
  <si>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</si>
  <si>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</si>
  <si>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</si>
  <si>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</si>
  <si>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</si>
  <si>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</si>
  <si>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</si>
  <si>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</si>
  <si>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</si>
  <si>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</si>
  <si>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</si>
  <si>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</si>
  <si>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</si>
  <si>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</si>
  <si>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</si>
  <si>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</si>
  <si>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</si>
  <si>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</si>
  <si>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</si>
  <si>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</si>
  <si>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</si>
  <si>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</si>
  <si>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</si>
  <si>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</si>
  <si>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</si>
  <si>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</si>
  <si>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</si>
  <si>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</si>
  <si>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</si>
  <si>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</si>
  <si>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IROQUOIS</t>
  </si>
  <si>
    <t>GILMAN</t>
  </si>
  <si>
    <t>106 E FRONT STREET</t>
  </si>
  <si>
    <t>Nicole Bullington</t>
  </si>
  <si>
    <t>bullingtonn@iroqsea.org</t>
  </si>
  <si>
    <t>815-683-2662</t>
  </si>
  <si>
    <t>815-683-9913</t>
  </si>
  <si>
    <t>Installment Loan</t>
  </si>
  <si>
    <t>Installment Loan for Purchase of Building</t>
  </si>
  <si>
    <t>No applicable contracts paid.</t>
  </si>
  <si>
    <t>Page 7 - Acct 7990 - Other Sources not Classified Elsewhere</t>
  </si>
  <si>
    <t>Col 10 - Educational</t>
  </si>
  <si>
    <t>Col 20 - Operations &amp; Maintenance</t>
  </si>
  <si>
    <t>Proceeds from Installment Loan Issued for Purchase of Building $236,400</t>
  </si>
  <si>
    <t>Page 11 - Acct 1999 - Other Local Revenues</t>
  </si>
  <si>
    <t>Refunds &amp; Miscellaneous - $43,768</t>
  </si>
  <si>
    <t>Col 40 - Transportation</t>
  </si>
  <si>
    <t>Refunds &amp; Miscellaneous - $600</t>
  </si>
  <si>
    <t>Page 17 - Funt 4190 - Other Payments to In-State Govt Units</t>
  </si>
  <si>
    <t>Rent paid to Crescent Iroquois CUSD #249 - $15,000</t>
  </si>
  <si>
    <t>AUDITCHECK Tab</t>
  </si>
  <si>
    <t>#8 Long Term Debt Issued Error</t>
  </si>
  <si>
    <t>Issued installment loan for purchase of building in Operations &amp; Maintenance Fund</t>
  </si>
  <si>
    <t>#13 Contracts paid error</t>
  </si>
  <si>
    <t>No applicable contracts paid in the current year.</t>
  </si>
  <si>
    <t>U.S. Department of Agriculture</t>
  </si>
  <si>
    <t xml:space="preserve">     Passed Through Illinois State Board of Education</t>
  </si>
  <si>
    <t xml:space="preserve">     School Lunch Program</t>
  </si>
  <si>
    <t xml:space="preserve">     School Breakfast</t>
  </si>
  <si>
    <t xml:space="preserve">     Commodities</t>
  </si>
  <si>
    <t xml:space="preserve">          Total U.S. Department of Education</t>
  </si>
  <si>
    <t>U.S. Department of Education</t>
  </si>
  <si>
    <t xml:space="preserve">     Passed Through the Illinois State Board of Education</t>
  </si>
  <si>
    <t xml:space="preserve">     Special Education-PreSchool </t>
  </si>
  <si>
    <t>(M)Special Education-IDEA F/T</t>
  </si>
  <si>
    <t>U.S Department of Health &amp; Human Services</t>
  </si>
  <si>
    <t xml:space="preserve">     Passed Through the Illinois Dept of Health Care and Family Services</t>
  </si>
  <si>
    <t xml:space="preserve">      Medicare-Admin Outreach</t>
  </si>
  <si>
    <t xml:space="preserve">          Total U.S. Department of Health &amp; Human Services</t>
  </si>
  <si>
    <t xml:space="preserve">          Total Federal Finacial Assistance</t>
  </si>
  <si>
    <t>The accompanying Schedule of Expenditures of Federal Awards includes the federal grant activity of Iroquois Special Education Association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</si>
  <si>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</si>
  <si>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Iroquois Special Education Association  provided federal awards to subrecipients as follows:</t>
  </si>
  <si>
    <t>none</t>
  </si>
  <si>
    <t>no</t>
  </si>
  <si>
    <t>Adverse-Gaap/Regulatroy-Qualified</t>
  </si>
  <si>
    <t>Unmodified</t>
  </si>
  <si>
    <t>84.027a</t>
  </si>
  <si>
    <t>Special Education-IDEA Flow Thru</t>
  </si>
  <si>
    <t>Iroquois Special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</si>
</sst>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75" fillId="0" borderId="0" xfId="0" applyFont="1"/>
    <xf numFmtId="0" fontId="66"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6" t="s">
        <v>405</v>
      </c>
      <c r="J1" s="1987"/>
      <c r="K1" s="1987"/>
      <c r="L1" s="1987"/>
      <c r="M1" s="1987"/>
      <c r="N1" s="1987"/>
      <c r="O1" s="1987"/>
      <c r="P1" s="1987"/>
      <c r="Q1" s="1987"/>
      <c r="R1" s="1987"/>
      <c r="S1" s="1987"/>
    </row>
    <row r="2" spans="1:28" ht="12" customHeight="1" x14ac:dyDescent="0.2">
      <c r="A2" s="47" t="s">
        <v>1989</v>
      </c>
      <c r="D2" s="48"/>
      <c r="I2" s="1988" t="s">
        <v>979</v>
      </c>
      <c r="J2" s="1987"/>
      <c r="K2" s="1987"/>
      <c r="L2" s="1987"/>
      <c r="M2" s="1987"/>
      <c r="N2" s="1987"/>
      <c r="O2" s="1987"/>
      <c r="P2" s="1987"/>
      <c r="Q2" s="1987"/>
      <c r="R2" s="1987"/>
      <c r="S2" s="1987"/>
    </row>
    <row r="3" spans="1:28" ht="12" customHeight="1" x14ac:dyDescent="0.2">
      <c r="A3" s="155" t="s">
        <v>1941</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c r="C5" s="26" t="s">
        <v>910</v>
      </c>
      <c r="D5" s="84"/>
      <c r="E5" s="84"/>
      <c r="H5" s="38"/>
      <c r="I5" s="1996" t="s">
        <v>680</v>
      </c>
      <c r="J5" s="1995"/>
      <c r="K5" s="1995"/>
      <c r="L5" s="1995"/>
      <c r="M5" s="1995"/>
      <c r="N5" s="1995"/>
      <c r="O5" s="1995"/>
      <c r="P5" s="1995"/>
      <c r="Q5" s="1995"/>
      <c r="R5" s="1995"/>
      <c r="S5" s="1995"/>
    </row>
    <row r="6" spans="1:28" ht="14.1" customHeight="1" x14ac:dyDescent="0.2">
      <c r="B6" s="104" t="s">
        <v>2071</v>
      </c>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t="s">
        <v>2071</v>
      </c>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32038801060</v>
      </c>
      <c r="B13" s="2022"/>
      <c r="C13" s="2022"/>
      <c r="D13" s="2022"/>
      <c r="E13" s="2022"/>
      <c r="F13" s="2022"/>
      <c r="G13" s="2022"/>
      <c r="H13" s="2023"/>
      <c r="I13" s="31"/>
      <c r="J13" s="30"/>
      <c r="K13" s="28"/>
      <c r="L13" s="30"/>
      <c r="M13" s="30"/>
      <c r="N13" s="30"/>
      <c r="O13" s="30"/>
      <c r="P13" s="30"/>
      <c r="Q13" s="30"/>
      <c r="R13" s="30"/>
      <c r="S13" s="30"/>
      <c r="T13" s="2026" t="s">
        <v>2063</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2074</v>
      </c>
      <c r="B15" s="2024"/>
      <c r="C15" s="2024"/>
      <c r="D15" s="2024"/>
      <c r="E15" s="2024"/>
      <c r="F15" s="2024"/>
      <c r="G15" s="2024"/>
      <c r="H15" s="2025"/>
      <c r="T15" s="2030" t="s">
        <v>2064</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2123</v>
      </c>
      <c r="B17" s="1981"/>
      <c r="C17" s="1981"/>
      <c r="D17" s="1981"/>
      <c r="E17" s="1981"/>
      <c r="F17" s="1981"/>
      <c r="G17" s="1981"/>
      <c r="H17" s="2006"/>
      <c r="T17" s="2037" t="s">
        <v>2065</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2076</v>
      </c>
      <c r="B19" s="1966"/>
      <c r="C19" s="1966"/>
      <c r="D19" s="1966"/>
      <c r="E19" s="1966"/>
      <c r="F19" s="1966"/>
      <c r="G19" s="1966"/>
      <c r="H19" s="1946"/>
      <c r="I19" s="30"/>
      <c r="J19" s="99"/>
      <c r="K19" s="40"/>
      <c r="L19" s="38"/>
      <c r="M19" s="112" t="s">
        <v>315</v>
      </c>
      <c r="P19" s="27"/>
      <c r="Q19" s="27"/>
      <c r="R19" s="27"/>
      <c r="S19" s="31"/>
      <c r="T19" s="2020" t="s">
        <v>2066</v>
      </c>
      <c r="U19" s="1945"/>
      <c r="V19" s="1945"/>
      <c r="W19" s="1946"/>
      <c r="X19" s="2035" t="s">
        <v>2067</v>
      </c>
      <c r="Y19" s="2036"/>
      <c r="Z19" s="2033">
        <v>60942</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2075</v>
      </c>
      <c r="B21" s="1945"/>
      <c r="C21" s="1945"/>
      <c r="D21" s="1945"/>
      <c r="E21" s="1945"/>
      <c r="F21" s="1945"/>
      <c r="G21" s="1945"/>
      <c r="H21" s="1946"/>
      <c r="I21" s="2000" t="s">
        <v>678</v>
      </c>
      <c r="J21" s="1995"/>
      <c r="K21" s="1995"/>
      <c r="L21" s="1995"/>
      <c r="M21" s="1995"/>
      <c r="N21" s="1995"/>
      <c r="O21" s="1995"/>
      <c r="P21" s="1995"/>
      <c r="Q21" s="1995"/>
      <c r="R21" s="1995"/>
      <c r="S21" s="2001"/>
      <c r="T21" s="2045" t="s">
        <v>2068</v>
      </c>
      <c r="U21" s="2046"/>
      <c r="V21" s="2046"/>
      <c r="W21" s="2046"/>
      <c r="X21" s="2051" t="s">
        <v>2069</v>
      </c>
      <c r="Y21" s="2052"/>
      <c r="Z21" s="2052"/>
      <c r="AA21" s="2053"/>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c r="B23" s="1998"/>
      <c r="C23" s="1998"/>
      <c r="D23" s="1998"/>
      <c r="E23" s="1998"/>
      <c r="F23" s="1998"/>
      <c r="G23" s="1998"/>
      <c r="H23" s="1999"/>
      <c r="T23" s="2043" t="s">
        <v>2072</v>
      </c>
      <c r="U23" s="2044"/>
      <c r="V23" s="2044"/>
      <c r="W23" s="2044"/>
      <c r="X23" s="2048">
        <v>44469</v>
      </c>
      <c r="Y23" s="2049"/>
      <c r="Z23" s="2049"/>
      <c r="AA23" s="2050"/>
    </row>
    <row r="24" spans="1:27" ht="14.1" customHeight="1" x14ac:dyDescent="0.2">
      <c r="A24" s="88" t="s">
        <v>677</v>
      </c>
      <c r="B24" s="49"/>
      <c r="C24" s="49"/>
      <c r="D24" s="49"/>
      <c r="E24" s="49"/>
      <c r="F24" s="49"/>
      <c r="G24" s="49"/>
      <c r="H24" s="61"/>
      <c r="J24" s="1967" t="str">
        <f>IF(B5="x",IF(AUDITCHECK!D29="AFR form Incomplete.","",IF(AUDITCHECK!D29="Deficit reduction plan is required.","School District must complete a deficit reduction plan in the 2019-2020 Budget",)),"")</f>
        <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60938</v>
      </c>
      <c r="B25" s="1945"/>
      <c r="C25" s="1945"/>
      <c r="D25" s="1945"/>
      <c r="E25" s="1945"/>
      <c r="F25" s="1945"/>
      <c r="G25" s="1945"/>
      <c r="H25" s="1946"/>
      <c r="I25" s="113"/>
      <c r="J25" s="1969"/>
      <c r="K25" s="1969"/>
      <c r="L25" s="1969"/>
      <c r="M25" s="1969"/>
      <c r="N25" s="1969"/>
      <c r="O25" s="1969"/>
      <c r="P25" s="1969"/>
      <c r="Q25" s="1969"/>
      <c r="R25" s="1969"/>
      <c r="S25" s="1970"/>
      <c r="T25" s="2040" t="s">
        <v>2070</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2071</v>
      </c>
      <c r="C30" s="124" t="s">
        <v>1164</v>
      </c>
      <c r="D30" s="28"/>
      <c r="E30" s="28"/>
      <c r="F30" s="140"/>
      <c r="G30" s="114"/>
      <c r="H30" s="114"/>
      <c r="I30" s="54"/>
      <c r="J30" s="148" t="s">
        <v>2071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2077</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t="s">
        <v>2078</v>
      </c>
      <c r="B40" s="1959"/>
      <c r="C40" s="1960"/>
      <c r="D40" s="1960"/>
      <c r="E40" s="1960"/>
      <c r="F40" s="1961"/>
      <c r="G40" s="1961"/>
      <c r="H40" s="1962"/>
      <c r="I40" s="1983"/>
      <c r="J40" s="1984"/>
      <c r="K40" s="1984"/>
      <c r="L40" s="1984"/>
      <c r="M40" s="1984"/>
      <c r="N40" s="1984"/>
      <c r="O40" s="1984"/>
      <c r="P40" s="1984"/>
      <c r="Q40" s="1984"/>
      <c r="R40" s="1984"/>
      <c r="S40" s="1985"/>
      <c r="T40" s="1983"/>
      <c r="U40" s="2047"/>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t="s">
        <v>2079</v>
      </c>
      <c r="B42" s="1964"/>
      <c r="C42" s="1965"/>
      <c r="D42" s="1963" t="s">
        <v>2080</v>
      </c>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2073</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5603584</v>
      </c>
      <c r="E16" s="356"/>
      <c r="F16" s="1733">
        <f>SUM('Acct Summary 7-8'!C17,'Acct Summary 7-8'!D17,'Acct Summary 7-8'!F17)</f>
        <v>6063386</v>
      </c>
      <c r="G16" s="356"/>
      <c r="H16" s="1733">
        <f>SUM(D16-F16)</f>
        <v>-459802</v>
      </c>
      <c r="I16" s="222"/>
      <c r="J16" s="1733">
        <f>SUM('Acct Summary 7-8'!C81,'Acct Summary 7-8'!D81,'Acct Summary 7-8'!F81,'Acct Summary 7-8'!I81)</f>
        <v>1106906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236400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F26" sqref="F26:F2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Iroquois Special Education</v>
      </c>
      <c r="E7" s="391"/>
      <c r="G7" s="252"/>
      <c r="H7" s="387"/>
      <c r="I7" s="387"/>
      <c r="J7" s="387"/>
      <c r="K7" s="387"/>
      <c r="L7" s="329"/>
      <c r="M7" s="329"/>
      <c r="N7" s="329"/>
      <c r="O7" s="329"/>
      <c r="P7" s="329"/>
    </row>
    <row r="8" spans="1:18" ht="12.75" x14ac:dyDescent="0.2">
      <c r="A8" s="329"/>
      <c r="B8" s="329"/>
      <c r="C8" s="389" t="s">
        <v>1125</v>
      </c>
      <c r="D8" s="392">
        <f>COVER!A13</f>
        <v>32038801060</v>
      </c>
      <c r="E8" s="393"/>
      <c r="G8" s="329"/>
      <c r="H8" s="329"/>
      <c r="I8" s="329"/>
      <c r="J8" s="329"/>
      <c r="K8" s="329"/>
      <c r="L8" s="329"/>
      <c r="M8" s="329"/>
      <c r="N8" s="329"/>
      <c r="O8" s="329"/>
      <c r="P8" s="329"/>
    </row>
    <row r="9" spans="1:18" ht="12.75" x14ac:dyDescent="0.2">
      <c r="A9" s="329"/>
      <c r="B9" s="329"/>
      <c r="C9" s="389" t="s">
        <v>713</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1106906</v>
      </c>
      <c r="I12" s="404"/>
      <c r="J12" s="404"/>
      <c r="K12" s="405">
        <f>TRUNC((H12/H13*100000),5)/100000</f>
        <v>0.19753536299999999</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5603584</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6063386</v>
      </c>
      <c r="I17" s="404"/>
      <c r="J17" s="416"/>
      <c r="K17" s="405">
        <f>TRUNC((H17/H18*100000),5)/100000</f>
        <v>1.0820549847999998</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5603584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1.1886584999999998</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1107600</v>
      </c>
      <c r="I24" s="422"/>
      <c r="J24" s="422"/>
      <c r="K24" s="423">
        <f>TRUNC(((H24/H25*100000)/100000),2)</f>
        <v>65.760000000000005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16842.738890000001</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236400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pane="bottomLeft" activeCell="C39" sqref="C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354392</v>
      </c>
      <c r="D4" s="466">
        <v>15356</v>
      </c>
      <c r="E4" s="466"/>
      <c r="F4" s="466">
        <v>202100</v>
      </c>
      <c r="G4" s="466"/>
      <c r="H4" s="466"/>
      <c r="I4" s="466"/>
      <c r="J4" s="467"/>
      <c r="K4" s="466"/>
      <c r="L4" s="466"/>
      <c r="M4" s="468"/>
      <c r="N4" s="469"/>
    </row>
    <row r="5" spans="1:14" x14ac:dyDescent="0.2">
      <c r="A5" s="463" t="s">
        <v>992</v>
      </c>
      <c r="B5" s="470">
        <v>120</v>
      </c>
      <c r="C5" s="465">
        <v>535752</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890144</v>
      </c>
      <c r="D13" s="1737">
        <f t="shared" ref="D13:L13" si="0">SUM(D4:D12)</f>
        <v>15356</v>
      </c>
      <c r="E13" s="1737">
        <f t="shared" si="0"/>
        <v>0</v>
      </c>
      <c r="F13" s="1737">
        <f t="shared" si="0"/>
        <v>202100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v>473175</v>
      </c>
      <c r="N17" s="484"/>
    </row>
    <row r="18" spans="1:14" s="485" customFormat="1" ht="12.75" customHeight="1" x14ac:dyDescent="0.2">
      <c r="A18" s="482" t="s">
        <v>1404</v>
      </c>
      <c r="B18" s="483">
        <v>240</v>
      </c>
      <c r="C18" s="477"/>
      <c r="D18" s="477"/>
      <c r="E18" s="477"/>
      <c r="F18" s="477"/>
      <c r="G18" s="477"/>
      <c r="H18" s="477"/>
      <c r="I18" s="477"/>
      <c r="J18" s="477"/>
      <c r="K18" s="477"/>
      <c r="L18" s="477"/>
      <c r="M18" s="467">
        <v>144748</v>
      </c>
      <c r="N18" s="484"/>
    </row>
    <row r="19" spans="1:14" s="485" customFormat="1" ht="12.75" customHeight="1" x14ac:dyDescent="0.2">
      <c r="A19" s="482" t="s">
        <v>1405</v>
      </c>
      <c r="B19" s="483">
        <v>250</v>
      </c>
      <c r="C19" s="477"/>
      <c r="D19" s="477"/>
      <c r="E19" s="477"/>
      <c r="F19" s="477"/>
      <c r="G19" s="477"/>
      <c r="H19" s="477"/>
      <c r="I19" s="477"/>
      <c r="J19" s="477"/>
      <c r="K19" s="477"/>
      <c r="L19" s="477"/>
      <c r="M19" s="467">
        <v>1699302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236400</v>
      </c>
    </row>
    <row r="23" spans="1:14" ht="13.5" customHeight="1" thickBot="1" x14ac:dyDescent="0.25">
      <c r="A23" s="1736" t="s">
        <v>643</v>
      </c>
      <c r="B23" s="1741"/>
      <c r="C23" s="468"/>
      <c r="D23" s="468"/>
      <c r="E23" s="468"/>
      <c r="F23" s="468"/>
      <c r="G23" s="468"/>
      <c r="H23" s="468"/>
      <c r="I23" s="468"/>
      <c r="J23" s="468"/>
      <c r="K23" s="468"/>
      <c r="L23" s="468"/>
      <c r="M23" s="1688">
        <f>SUM(M15:M22)</f>
        <v>2317225</v>
      </c>
      <c r="N23" s="1688">
        <f>SUM(N21:N22)</f>
        <v>236400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694</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694</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236400</v>
      </c>
    </row>
    <row r="37" spans="1:14" ht="13.5" thickBot="1" x14ac:dyDescent="0.25">
      <c r="A37" s="1736" t="s">
        <v>653</v>
      </c>
      <c r="B37" s="1741"/>
      <c r="C37" s="477"/>
      <c r="D37" s="477"/>
      <c r="E37" s="477"/>
      <c r="F37" s="477"/>
      <c r="G37" s="477"/>
      <c r="H37" s="477"/>
      <c r="I37" s="477"/>
      <c r="J37" s="477"/>
      <c r="K37" s="477"/>
      <c r="L37" s="480"/>
      <c r="M37" s="468"/>
      <c r="N37" s="1688">
        <f>SUM(N36:N36)</f>
        <v>236400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889450</v>
      </c>
      <c r="D39" s="466">
        <v>15356</v>
      </c>
      <c r="E39" s="466"/>
      <c r="F39" s="466">
        <v>202100</v>
      </c>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2317225</v>
      </c>
      <c r="N40" s="497"/>
    </row>
    <row r="41" spans="1:14" ht="13.5" customHeight="1" thickBot="1" x14ac:dyDescent="0.25">
      <c r="A41" s="1736" t="s">
        <v>655</v>
      </c>
      <c r="B41" s="1706"/>
      <c r="C41" s="1688">
        <f>(SUM(C34,C37,C38,C39))</f>
        <v>890144</v>
      </c>
      <c r="D41" s="1688">
        <f t="shared" ref="D41:L41" si="2">SUM(D34,D37,D38:D39)</f>
        <v>15356</v>
      </c>
      <c r="E41" s="1688">
        <f t="shared" si="2"/>
        <v>0</v>
      </c>
      <c r="F41" s="1688">
        <f t="shared" si="2"/>
        <v>202100</v>
      </c>
      <c r="G41" s="1688">
        <f t="shared" si="2"/>
        <v>0</v>
      </c>
      <c r="H41" s="1688">
        <f t="shared" si="2"/>
        <v>0</v>
      </c>
      <c r="I41" s="1688">
        <f t="shared" si="2"/>
        <v>0</v>
      </c>
      <c r="J41" s="1688">
        <f t="shared" si="2"/>
        <v>0</v>
      </c>
      <c r="K41" s="1688">
        <f t="shared" si="2"/>
        <v>0</v>
      </c>
      <c r="L41" s="1688">
        <f t="shared" si="2"/>
        <v>0</v>
      </c>
      <c r="M41" s="1688">
        <f>SUM(M40)</f>
        <v>2317225</v>
      </c>
      <c r="N41" s="1688">
        <f>SUM(N37)</f>
        <v>236400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F20" sqref="F2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3365281</v>
      </c>
      <c r="D4" s="1742">
        <f>'Revenues 9-14'!D109</f>
        <v>93654</v>
      </c>
      <c r="E4" s="1742">
        <f>'Revenues 9-14'!E109</f>
        <v>0</v>
      </c>
      <c r="F4" s="1742">
        <f>'Revenues 9-14'!F109</f>
        <v>232034</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709304</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1193311</v>
      </c>
      <c r="D7" s="1743">
        <f>'Revenues 9-14'!D267</f>
        <v>10000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5267896</v>
      </c>
      <c r="D8" s="1688">
        <f t="shared" ref="D8:K8" si="0">SUM(D4:D7)</f>
        <v>103654</v>
      </c>
      <c r="E8" s="1688">
        <f t="shared" si="0"/>
        <v>0</v>
      </c>
      <c r="F8" s="1688">
        <f t="shared" si="0"/>
        <v>232034</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2455773</v>
      </c>
      <c r="D9" s="516"/>
      <c r="E9" s="481"/>
      <c r="F9" s="481"/>
      <c r="G9" s="517"/>
      <c r="H9" s="481"/>
      <c r="I9" s="509" t="s">
        <v>1169</v>
      </c>
      <c r="J9" s="478"/>
      <c r="K9" s="481"/>
      <c r="L9" s="347"/>
    </row>
    <row r="10" spans="1:13" s="519" customFormat="1" ht="13.5" thickBot="1" x14ac:dyDescent="0.25">
      <c r="A10" s="1736" t="s">
        <v>1173</v>
      </c>
      <c r="B10" s="1709"/>
      <c r="C10" s="1688">
        <f>SUM(C8:C9)</f>
        <v>7723669</v>
      </c>
      <c r="D10" s="1688">
        <f t="shared" ref="D10:K10" si="1">SUM(D8:D9)</f>
        <v>103654</v>
      </c>
      <c r="E10" s="1688">
        <f t="shared" si="1"/>
        <v>0</v>
      </c>
      <c r="F10" s="1688">
        <f t="shared" si="1"/>
        <v>232034</v>
      </c>
      <c r="G10" s="1688">
        <f t="shared" si="1"/>
        <v>0</v>
      </c>
      <c r="H10" s="1688">
        <f t="shared" si="1"/>
        <v>0</v>
      </c>
      <c r="I10" s="1688">
        <f t="shared" si="1"/>
        <v>0</v>
      </c>
      <c r="J10" s="1688">
        <f t="shared" si="1"/>
        <v>0</v>
      </c>
      <c r="K10" s="1688">
        <f t="shared" si="1"/>
        <v>0</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3583763</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1586059</v>
      </c>
      <c r="D13" s="1743">
        <f>'Expenditures 15-22'!K129</f>
        <v>351858</v>
      </c>
      <c r="E13" s="469" t="s">
        <v>1169</v>
      </c>
      <c r="F13" s="1743">
        <f>'Expenditures 15-22'!K184</f>
        <v>526706</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0</v>
      </c>
      <c r="D15" s="1743">
        <f>'Expenditures 15-22'!K139</f>
        <v>15000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5169822</v>
      </c>
      <c r="D17" s="1688">
        <f t="shared" si="2"/>
        <v>366858</v>
      </c>
      <c r="E17" s="1688">
        <f t="shared" si="2"/>
        <v>0</v>
      </c>
      <c r="F17" s="1688">
        <f t="shared" si="2"/>
        <v>526706</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2455773</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7625595</v>
      </c>
      <c r="D19" s="1688">
        <f t="shared" si="4"/>
        <v>366858</v>
      </c>
      <c r="E19" s="1688">
        <f t="shared" si="4"/>
        <v>0</v>
      </c>
      <c r="F19" s="1688">
        <f t="shared" si="4"/>
        <v>526706</v>
      </c>
      <c r="G19" s="1688">
        <f t="shared" si="4"/>
        <v>0</v>
      </c>
      <c r="H19" s="1688">
        <f t="shared" si="4"/>
        <v>0</v>
      </c>
      <c r="I19" s="468"/>
      <c r="J19" s="1688">
        <f>SUM(J17:J18)</f>
        <v>0</v>
      </c>
      <c r="K19" s="1688">
        <f>SUM(K17:K18)</f>
        <v>0</v>
      </c>
      <c r="L19" s="347"/>
    </row>
    <row r="20" spans="1:12" ht="16.5" thickTop="1" thickBot="1" x14ac:dyDescent="0.25">
      <c r="A20" s="2130" t="s">
        <v>1655</v>
      </c>
      <c r="B20" s="2131"/>
      <c r="C20" s="1746">
        <f>C8-C17</f>
        <v>98074</v>
      </c>
      <c r="D20" s="1746">
        <f t="shared" ref="D20:K20" si="5">D8-D17</f>
        <v>-263204</v>
      </c>
      <c r="E20" s="1746">
        <f t="shared" si="5"/>
        <v>0</v>
      </c>
      <c r="F20" s="1746">
        <f t="shared" si="5"/>
        <v>-294672</v>
      </c>
      <c r="G20" s="1746">
        <f t="shared" si="5"/>
        <v>0</v>
      </c>
      <c r="H20" s="1746">
        <f t="shared" si="5"/>
        <v>0</v>
      </c>
      <c r="I20" s="1746">
        <f t="shared" si="5"/>
        <v>0</v>
      </c>
      <c r="J20" s="1746">
        <f t="shared" si="5"/>
        <v>0</v>
      </c>
      <c r="K20" s="1746">
        <f t="shared" si="5"/>
        <v>0</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v>236400</v>
      </c>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236400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2" t="s">
        <v>1177</v>
      </c>
      <c r="B77" s="2123"/>
      <c r="C77" s="1703">
        <f t="shared" ref="C77:K77" si="8">C44-C76</f>
        <v>0</v>
      </c>
      <c r="D77" s="1703">
        <f t="shared" si="8"/>
        <v>236400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6" t="s">
        <v>597</v>
      </c>
      <c r="B78" s="2127"/>
      <c r="C78" s="1702">
        <f t="shared" ref="C78:K78" si="9">C20+C77</f>
        <v>98074</v>
      </c>
      <c r="D78" s="1702">
        <f t="shared" si="9"/>
        <v>-26804</v>
      </c>
      <c r="E78" s="1702">
        <f t="shared" si="9"/>
        <v>0</v>
      </c>
      <c r="F78" s="1702">
        <f t="shared" si="9"/>
        <v>-294672</v>
      </c>
      <c r="G78" s="1702">
        <f t="shared" si="9"/>
        <v>0</v>
      </c>
      <c r="H78" s="1702">
        <f t="shared" si="9"/>
        <v>0</v>
      </c>
      <c r="I78" s="1702">
        <f t="shared" si="9"/>
        <v>0</v>
      </c>
      <c r="J78" s="1702">
        <f t="shared" si="9"/>
        <v>0</v>
      </c>
      <c r="K78" s="1702">
        <f t="shared" si="9"/>
        <v>0</v>
      </c>
      <c r="L78" s="533"/>
    </row>
    <row r="79" spans="1:12" ht="13.5" thickTop="1" x14ac:dyDescent="0.2">
      <c r="A79" s="1494" t="s">
        <v>1945</v>
      </c>
      <c r="B79" s="534"/>
      <c r="C79" s="478">
        <v>791376</v>
      </c>
      <c r="D79" s="535">
        <v>42160</v>
      </c>
      <c r="E79" s="535"/>
      <c r="F79" s="535">
        <v>496772</v>
      </c>
      <c r="G79" s="535"/>
      <c r="H79" s="535"/>
      <c r="I79" s="535"/>
      <c r="J79" s="535"/>
      <c r="K79" s="535"/>
      <c r="L79" s="347"/>
    </row>
    <row r="80" spans="1:12" x14ac:dyDescent="0.2">
      <c r="A80" s="2132" t="s">
        <v>1793</v>
      </c>
      <c r="B80" s="2133"/>
      <c r="C80" s="467"/>
      <c r="D80" s="467"/>
      <c r="E80" s="467"/>
      <c r="F80" s="467"/>
      <c r="G80" s="467"/>
      <c r="H80" s="467"/>
      <c r="I80" s="467"/>
      <c r="J80" s="467"/>
      <c r="K80" s="467"/>
      <c r="L80" s="347"/>
    </row>
    <row r="81" spans="1:12" ht="13.5" thickBot="1" x14ac:dyDescent="0.25">
      <c r="A81" s="2124" t="s">
        <v>1946</v>
      </c>
      <c r="B81" s="2125"/>
      <c r="C81" s="1688">
        <f>(SUM(C78:C80))</f>
        <v>889450</v>
      </c>
      <c r="D81" s="1688">
        <f>SUM(D78:D80)</f>
        <v>15356</v>
      </c>
      <c r="E81" s="1688">
        <f t="shared" ref="E81:K81" si="10">SUM(E78:E80)</f>
        <v>0</v>
      </c>
      <c r="F81" s="1688">
        <f t="shared" si="10"/>
        <v>202100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98074</v>
      </c>
      <c r="D82" s="538">
        <f t="shared" ref="D82:K82" si="11">(D81-D79)</f>
        <v>-26804</v>
      </c>
      <c r="E82" s="538">
        <f t="shared" si="11"/>
        <v>0</v>
      </c>
      <c r="F82" s="538">
        <f t="shared" si="11"/>
        <v>-294672</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0.11026364607341615</v>
      </c>
      <c r="D83" s="540">
        <f t="shared" ref="D83:K83" si="12">D82/D81</f>
        <v>-1.7455066423547798</v>
      </c>
      <c r="E83" s="540" t="e">
        <f t="shared" si="12"/>
        <v>#DIV/0!</v>
      </c>
      <c r="F83" s="540">
        <f t="shared" si="12"/>
        <v>-1.4580504700643246</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177" activePane="bottomLeft" state="frozen"/>
      <selection pane="bottomLeft" activeCell="C194" sqref="C19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1800</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3290372</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3290372</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v>231033</v>
      </c>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231033</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7295</v>
      </c>
      <c r="D65" s="466">
        <v>56</v>
      </c>
      <c r="E65" s="466"/>
      <c r="F65" s="467">
        <v>401</v>
      </c>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7295</v>
      </c>
      <c r="D67" s="1688">
        <f t="shared" ref="D67:K67" si="2">SUM(D65:D66)</f>
        <v>56</v>
      </c>
      <c r="E67" s="1688">
        <f t="shared" si="2"/>
        <v>0</v>
      </c>
      <c r="F67" s="1688">
        <f t="shared" si="2"/>
        <v>401</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880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880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9516</v>
      </c>
      <c r="D98" s="466"/>
      <c r="E98" s="512"/>
      <c r="F98" s="466"/>
      <c r="G98" s="512"/>
      <c r="H98" s="512"/>
      <c r="I98" s="510"/>
      <c r="J98" s="512"/>
      <c r="K98" s="512"/>
    </row>
    <row r="99" spans="1:12" ht="12.75" customHeight="1" x14ac:dyDescent="0.2">
      <c r="A99" s="463" t="s">
        <v>821</v>
      </c>
      <c r="B99" s="470">
        <v>1950</v>
      </c>
      <c r="C99" s="489">
        <v>13450</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v>93598</v>
      </c>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43768</v>
      </c>
      <c r="D107" s="466"/>
      <c r="E107" s="466"/>
      <c r="F107" s="466">
        <v>600</v>
      </c>
      <c r="G107" s="466"/>
      <c r="H107" s="466"/>
      <c r="I107" s="466"/>
      <c r="J107" s="467"/>
      <c r="K107" s="466"/>
    </row>
    <row r="108" spans="1:12" ht="12.75" customHeight="1" thickBot="1" x14ac:dyDescent="0.25">
      <c r="A108" s="1708" t="s">
        <v>487</v>
      </c>
      <c r="B108" s="1712"/>
      <c r="C108" s="1707">
        <f>SUM(C95:C107)</f>
        <v>66734</v>
      </c>
      <c r="D108" s="1707">
        <f t="shared" ref="D108:K108" si="3">SUM(D95:D107)</f>
        <v>93598</v>
      </c>
      <c r="E108" s="1707">
        <f t="shared" si="3"/>
        <v>0</v>
      </c>
      <c r="F108" s="1707">
        <f t="shared" si="3"/>
        <v>600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3365281</v>
      </c>
      <c r="D109" s="1715">
        <f t="shared" si="4"/>
        <v>93654</v>
      </c>
      <c r="E109" s="1715">
        <f t="shared" si="4"/>
        <v>0</v>
      </c>
      <c r="F109" s="1715">
        <f t="shared" si="4"/>
        <v>232034</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709174</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0" t="s">
        <v>1932</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709174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130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130</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709304</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1801</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3784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2198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5982</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737749</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364466</v>
      </c>
      <c r="D213" s="466">
        <v>10000</v>
      </c>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1102215</v>
      </c>
      <c r="D217" s="1707">
        <f>SUM(D211:D216)</f>
        <v>10000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30458</v>
      </c>
      <c r="D263" s="576"/>
      <c r="E263" s="468"/>
      <c r="F263" s="576"/>
      <c r="G263" s="576"/>
      <c r="H263" s="468"/>
      <c r="I263" s="468"/>
      <c r="J263" s="468"/>
      <c r="K263" s="468"/>
    </row>
    <row r="264" spans="1:11" ht="12.75" customHeight="1" thickTop="1" thickBot="1" x14ac:dyDescent="0.25">
      <c r="A264" s="463" t="s">
        <v>377</v>
      </c>
      <c r="B264" s="470">
        <v>4992</v>
      </c>
      <c r="C264" s="575">
        <v>54656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1193311</v>
      </c>
      <c r="D266" s="1715">
        <f t="shared" si="10"/>
        <v>10000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1193311</v>
      </c>
      <c r="D267" s="1715">
        <f>SUM(D175,D181,D266)</f>
        <v>10000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5267896</v>
      </c>
      <c r="D268" s="1715">
        <f t="shared" si="12"/>
        <v>103654</v>
      </c>
      <c r="E268" s="1715">
        <f t="shared" si="12"/>
        <v>0</v>
      </c>
      <c r="F268" s="1715">
        <f t="shared" si="12"/>
        <v>232034</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86" activePane="bottomLeft" state="frozen"/>
      <selection pane="bottomLeft" activeCell="L182" sqref="L18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2455159</v>
      </c>
      <c r="D8" s="466">
        <v>698548</v>
      </c>
      <c r="E8" s="466">
        <v>50495</v>
      </c>
      <c r="F8" s="466">
        <v>16222</v>
      </c>
      <c r="G8" s="466"/>
      <c r="H8" s="466">
        <v>178571</v>
      </c>
      <c r="I8" s="467"/>
      <c r="J8" s="467"/>
      <c r="K8" s="1671">
        <f t="shared" si="0"/>
        <v>3398995</v>
      </c>
      <c r="L8" s="466">
        <v>3850000</v>
      </c>
    </row>
    <row r="9" spans="1:14" x14ac:dyDescent="0.2">
      <c r="A9" s="1504" t="s">
        <v>721</v>
      </c>
      <c r="B9" s="614" t="s">
        <v>968</v>
      </c>
      <c r="C9" s="467">
        <v>144690</v>
      </c>
      <c r="D9" s="467">
        <v>28144</v>
      </c>
      <c r="E9" s="467"/>
      <c r="F9" s="467">
        <v>326</v>
      </c>
      <c r="G9" s="467"/>
      <c r="H9" s="467"/>
      <c r="I9" s="467"/>
      <c r="J9" s="467"/>
      <c r="K9" s="1671">
        <f t="shared" si="0"/>
        <v>173160</v>
      </c>
      <c r="L9" s="466">
        <v>184000</v>
      </c>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v>10117</v>
      </c>
      <c r="D15" s="466">
        <v>1491</v>
      </c>
      <c r="E15" s="466"/>
      <c r="F15" s="466"/>
      <c r="G15" s="466"/>
      <c r="H15" s="466"/>
      <c r="I15" s="467"/>
      <c r="J15" s="467"/>
      <c r="K15" s="1671">
        <f t="shared" si="0"/>
        <v>11608</v>
      </c>
      <c r="L15" s="466">
        <v>16500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2609966</v>
      </c>
      <c r="D33" s="1670">
        <f t="shared" ref="D33:L33" si="1">SUM(D5:D32)</f>
        <v>728183</v>
      </c>
      <c r="E33" s="1670">
        <f t="shared" si="1"/>
        <v>50495</v>
      </c>
      <c r="F33" s="1670">
        <f t="shared" si="1"/>
        <v>16548</v>
      </c>
      <c r="G33" s="1670">
        <f t="shared" si="1"/>
        <v>0</v>
      </c>
      <c r="H33" s="1670">
        <f t="shared" si="1"/>
        <v>178571</v>
      </c>
      <c r="I33" s="1670">
        <f t="shared" si="1"/>
        <v>0</v>
      </c>
      <c r="J33" s="1670">
        <f t="shared" si="1"/>
        <v>0</v>
      </c>
      <c r="K33" s="1670">
        <f t="shared" si="1"/>
        <v>3583763</v>
      </c>
      <c r="L33" s="1670">
        <f t="shared" si="1"/>
        <v>4050500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204106</v>
      </c>
      <c r="D36" s="481">
        <v>68631</v>
      </c>
      <c r="E36" s="481">
        <v>3296</v>
      </c>
      <c r="F36" s="481">
        <v>726</v>
      </c>
      <c r="G36" s="481"/>
      <c r="H36" s="481"/>
      <c r="I36" s="467"/>
      <c r="J36" s="467"/>
      <c r="K36" s="1671">
        <f t="shared" ref="K36:K41" si="2">SUM(C36:J36)</f>
        <v>276759</v>
      </c>
      <c r="L36" s="466">
        <v>293000</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163669</v>
      </c>
      <c r="D38" s="466">
        <v>48497</v>
      </c>
      <c r="E38" s="466">
        <v>12707</v>
      </c>
      <c r="F38" s="466">
        <v>2431</v>
      </c>
      <c r="G38" s="466"/>
      <c r="H38" s="466"/>
      <c r="I38" s="467"/>
      <c r="J38" s="467"/>
      <c r="K38" s="1671">
        <f t="shared" si="2"/>
        <v>227304</v>
      </c>
      <c r="L38" s="466">
        <v>231000</v>
      </c>
    </row>
    <row r="39" spans="1:14" x14ac:dyDescent="0.2">
      <c r="A39" s="1504" t="s">
        <v>199</v>
      </c>
      <c r="B39" s="614">
        <v>2140</v>
      </c>
      <c r="C39" s="466">
        <v>108911</v>
      </c>
      <c r="D39" s="466">
        <v>25069</v>
      </c>
      <c r="E39" s="466">
        <v>5173</v>
      </c>
      <c r="F39" s="466">
        <v>2159</v>
      </c>
      <c r="G39" s="466"/>
      <c r="H39" s="466"/>
      <c r="I39" s="467"/>
      <c r="J39" s="467"/>
      <c r="K39" s="1671">
        <f t="shared" si="2"/>
        <v>141312</v>
      </c>
      <c r="L39" s="466">
        <v>207000</v>
      </c>
    </row>
    <row r="40" spans="1:14" x14ac:dyDescent="0.2">
      <c r="A40" s="1504" t="s">
        <v>200</v>
      </c>
      <c r="B40" s="614">
        <v>2150</v>
      </c>
      <c r="C40" s="466">
        <v>145285</v>
      </c>
      <c r="D40" s="466">
        <v>29279</v>
      </c>
      <c r="E40" s="466">
        <v>31787</v>
      </c>
      <c r="F40" s="466">
        <v>1437</v>
      </c>
      <c r="G40" s="466"/>
      <c r="H40" s="466"/>
      <c r="I40" s="467"/>
      <c r="J40" s="467"/>
      <c r="K40" s="1671">
        <f t="shared" si="2"/>
        <v>207788</v>
      </c>
      <c r="L40" s="466">
        <v>217000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621971</v>
      </c>
      <c r="D42" s="1670">
        <f t="shared" ref="D42:L42" si="3">SUM(D36:D41)</f>
        <v>171476</v>
      </c>
      <c r="E42" s="1670">
        <f t="shared" si="3"/>
        <v>52963</v>
      </c>
      <c r="F42" s="1670">
        <f t="shared" si="3"/>
        <v>6753</v>
      </c>
      <c r="G42" s="1670">
        <f t="shared" si="3"/>
        <v>0</v>
      </c>
      <c r="H42" s="1670">
        <f t="shared" si="3"/>
        <v>0</v>
      </c>
      <c r="I42" s="1670">
        <f t="shared" si="3"/>
        <v>0</v>
      </c>
      <c r="J42" s="1670">
        <f t="shared" si="3"/>
        <v>0</v>
      </c>
      <c r="K42" s="1670">
        <f t="shared" si="3"/>
        <v>853163</v>
      </c>
      <c r="L42" s="1670">
        <f t="shared" si="3"/>
        <v>948000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32864</v>
      </c>
      <c r="D44" s="481">
        <v>3492</v>
      </c>
      <c r="E44" s="481">
        <v>22443</v>
      </c>
      <c r="F44" s="481">
        <v>10337</v>
      </c>
      <c r="G44" s="481"/>
      <c r="H44" s="481"/>
      <c r="I44" s="467"/>
      <c r="J44" s="467"/>
      <c r="K44" s="1672">
        <f>SUM(C44:J44)</f>
        <v>69136</v>
      </c>
      <c r="L44" s="481">
        <v>98000</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32864</v>
      </c>
      <c r="D47" s="1670">
        <f t="shared" ref="D47:K47" si="4">SUM(D44:D46)</f>
        <v>3492</v>
      </c>
      <c r="E47" s="1670">
        <f t="shared" si="4"/>
        <v>22443</v>
      </c>
      <c r="F47" s="1670">
        <f t="shared" si="4"/>
        <v>10337</v>
      </c>
      <c r="G47" s="1670">
        <f t="shared" si="4"/>
        <v>0</v>
      </c>
      <c r="H47" s="1670">
        <f t="shared" si="4"/>
        <v>0</v>
      </c>
      <c r="I47" s="1670">
        <f t="shared" si="4"/>
        <v>0</v>
      </c>
      <c r="J47" s="1670">
        <f t="shared" si="4"/>
        <v>0</v>
      </c>
      <c r="K47" s="1670">
        <f t="shared" si="4"/>
        <v>69136</v>
      </c>
      <c r="L47" s="1670">
        <f>SUM(L44:L46)</f>
        <v>98000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c r="D50" s="466"/>
      <c r="E50" s="466"/>
      <c r="F50" s="466"/>
      <c r="G50" s="466"/>
      <c r="H50" s="466"/>
      <c r="I50" s="467"/>
      <c r="J50" s="467"/>
      <c r="K50" s="1672">
        <f>SUM(C50:J50)</f>
        <v>0</v>
      </c>
      <c r="L50" s="466"/>
    </row>
    <row r="51" spans="1:14" x14ac:dyDescent="0.2">
      <c r="A51" s="1504" t="s">
        <v>42</v>
      </c>
      <c r="B51" s="614">
        <v>2330</v>
      </c>
      <c r="C51" s="466">
        <v>189119</v>
      </c>
      <c r="D51" s="466">
        <v>51930</v>
      </c>
      <c r="E51" s="466">
        <v>179400</v>
      </c>
      <c r="F51" s="466">
        <v>21280</v>
      </c>
      <c r="G51" s="466">
        <v>5088</v>
      </c>
      <c r="H51" s="466"/>
      <c r="I51" s="467"/>
      <c r="J51" s="467"/>
      <c r="K51" s="1672">
        <f>SUM(C51:J51)</f>
        <v>446817</v>
      </c>
      <c r="L51" s="466">
        <v>516000</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189119</v>
      </c>
      <c r="D53" s="1670">
        <f t="shared" ref="D53:L53" si="5">SUM(D49:D52)</f>
        <v>51930</v>
      </c>
      <c r="E53" s="1670">
        <f t="shared" si="5"/>
        <v>179400</v>
      </c>
      <c r="F53" s="1670">
        <f t="shared" si="5"/>
        <v>21280</v>
      </c>
      <c r="G53" s="1670">
        <f t="shared" si="5"/>
        <v>5088</v>
      </c>
      <c r="H53" s="1670">
        <f t="shared" si="5"/>
        <v>0</v>
      </c>
      <c r="I53" s="1670">
        <f t="shared" si="5"/>
        <v>0</v>
      </c>
      <c r="J53" s="1670">
        <f t="shared" si="5"/>
        <v>0</v>
      </c>
      <c r="K53" s="1670">
        <f t="shared" si="5"/>
        <v>446817</v>
      </c>
      <c r="L53" s="1670">
        <f t="shared" si="5"/>
        <v>516000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106128</v>
      </c>
      <c r="D55" s="481">
        <v>34231</v>
      </c>
      <c r="E55" s="481">
        <v>636</v>
      </c>
      <c r="F55" s="481">
        <v>3458</v>
      </c>
      <c r="G55" s="481"/>
      <c r="H55" s="481"/>
      <c r="I55" s="467"/>
      <c r="J55" s="467"/>
      <c r="K55" s="1672">
        <f>SUM(C55:J55)</f>
        <v>144453</v>
      </c>
      <c r="L55" s="481">
        <v>140000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106128</v>
      </c>
      <c r="D57" s="1674">
        <f t="shared" ref="D57:K57" si="6">SUM(D55:D56)</f>
        <v>34231</v>
      </c>
      <c r="E57" s="1674">
        <f t="shared" si="6"/>
        <v>636</v>
      </c>
      <c r="F57" s="1674">
        <f t="shared" si="6"/>
        <v>3458</v>
      </c>
      <c r="G57" s="1674">
        <f t="shared" si="6"/>
        <v>0</v>
      </c>
      <c r="H57" s="1674">
        <f t="shared" si="6"/>
        <v>0</v>
      </c>
      <c r="I57" s="1674">
        <f t="shared" si="6"/>
        <v>0</v>
      </c>
      <c r="J57" s="1674">
        <f t="shared" si="6"/>
        <v>0</v>
      </c>
      <c r="K57" s="1674">
        <f t="shared" si="6"/>
        <v>144453</v>
      </c>
      <c r="L57" s="1670">
        <f>SUM(L55:L56)</f>
        <v>140000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38125</v>
      </c>
      <c r="D60" s="466">
        <v>12311</v>
      </c>
      <c r="E60" s="466">
        <v>110</v>
      </c>
      <c r="F60" s="466"/>
      <c r="G60" s="466"/>
      <c r="H60" s="466"/>
      <c r="I60" s="467"/>
      <c r="J60" s="467"/>
      <c r="K60" s="1672">
        <f t="shared" si="7"/>
        <v>50546</v>
      </c>
      <c r="L60" s="466">
        <v>52100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10231</v>
      </c>
      <c r="D63" s="466">
        <v>937</v>
      </c>
      <c r="E63" s="466">
        <v>76</v>
      </c>
      <c r="F63" s="466">
        <v>10700</v>
      </c>
      <c r="G63" s="466"/>
      <c r="H63" s="466"/>
      <c r="I63" s="467"/>
      <c r="J63" s="467"/>
      <c r="K63" s="1672">
        <f t="shared" si="7"/>
        <v>21944</v>
      </c>
      <c r="L63" s="466">
        <v>22500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48356</v>
      </c>
      <c r="D65" s="1670">
        <f t="shared" ref="D65:L65" si="8">SUM(D59:D64)</f>
        <v>13248</v>
      </c>
      <c r="E65" s="1670">
        <f t="shared" si="8"/>
        <v>186</v>
      </c>
      <c r="F65" s="1670">
        <f t="shared" si="8"/>
        <v>10700</v>
      </c>
      <c r="G65" s="1670">
        <f t="shared" si="8"/>
        <v>0</v>
      </c>
      <c r="H65" s="1670">
        <f t="shared" si="8"/>
        <v>0</v>
      </c>
      <c r="I65" s="1670">
        <f t="shared" si="8"/>
        <v>0</v>
      </c>
      <c r="J65" s="1670">
        <f t="shared" si="8"/>
        <v>0</v>
      </c>
      <c r="K65" s="1670">
        <f t="shared" si="8"/>
        <v>72490</v>
      </c>
      <c r="L65" s="1670">
        <f t="shared" si="8"/>
        <v>74600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998438</v>
      </c>
      <c r="D74" s="1677">
        <f t="shared" ref="D74:K74" si="10">SUM(D42,D47,D53,D57,D65,D72,D73)</f>
        <v>274377</v>
      </c>
      <c r="E74" s="1677">
        <f t="shared" si="10"/>
        <v>255628</v>
      </c>
      <c r="F74" s="1677">
        <f t="shared" si="10"/>
        <v>52528</v>
      </c>
      <c r="G74" s="1677">
        <f t="shared" si="10"/>
        <v>5088</v>
      </c>
      <c r="H74" s="1677">
        <f t="shared" si="10"/>
        <v>0</v>
      </c>
      <c r="I74" s="1677">
        <f t="shared" si="10"/>
        <v>0</v>
      </c>
      <c r="J74" s="1677">
        <f t="shared" si="10"/>
        <v>0</v>
      </c>
      <c r="K74" s="1677">
        <f t="shared" si="10"/>
        <v>1586059</v>
      </c>
      <c r="L74" s="1677">
        <f>SUM(L42,L47,L53,L57,L65,L72,L73)</f>
        <v>1776600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0</v>
      </c>
      <c r="I102" s="477"/>
      <c r="J102" s="477"/>
      <c r="K102" s="1677">
        <f>SUM(K84,K92,K100,K101)</f>
        <v>0</v>
      </c>
      <c r="L102" s="1677">
        <f>SUM(L84,L92,L100,L101)</f>
        <v>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3608404</v>
      </c>
      <c r="D114" s="1670">
        <f t="shared" ref="D114:K114" si="13">SUM(D33,D74,D75,D102,D112,D113)</f>
        <v>1002560</v>
      </c>
      <c r="E114" s="1670">
        <f t="shared" si="13"/>
        <v>306123</v>
      </c>
      <c r="F114" s="1670">
        <f t="shared" si="13"/>
        <v>69076</v>
      </c>
      <c r="G114" s="1670">
        <f t="shared" si="13"/>
        <v>5088</v>
      </c>
      <c r="H114" s="1670">
        <f>SUM(H33,H74,H75,H102,H112,H113)</f>
        <v>178571</v>
      </c>
      <c r="I114" s="1670">
        <f t="shared" si="13"/>
        <v>0</v>
      </c>
      <c r="J114" s="1670">
        <f t="shared" si="13"/>
        <v>0</v>
      </c>
      <c r="K114" s="1670">
        <f t="shared" si="13"/>
        <v>5169822</v>
      </c>
      <c r="L114" s="1670">
        <f>SUM(L33,L74,L75,L102,L112,L113)</f>
        <v>5827100</v>
      </c>
    </row>
    <row r="115" spans="1:14" ht="13.5" thickTop="1" x14ac:dyDescent="0.2">
      <c r="A115" s="2160" t="s">
        <v>996</v>
      </c>
      <c r="B115" s="2161"/>
      <c r="C115" s="618"/>
      <c r="D115" s="618"/>
      <c r="E115" s="618"/>
      <c r="F115" s="618"/>
      <c r="G115" s="618"/>
      <c r="H115" s="618"/>
      <c r="I115" s="618"/>
      <c r="J115" s="618"/>
      <c r="K115" s="1684">
        <f>'Revenues 9-14'!C268-'Expenditures 15-22'!K114</f>
        <v>98074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2056</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7883</v>
      </c>
      <c r="D124" s="466">
        <v>874</v>
      </c>
      <c r="E124" s="466">
        <v>63983</v>
      </c>
      <c r="F124" s="466">
        <v>37718</v>
      </c>
      <c r="G124" s="466">
        <v>241400</v>
      </c>
      <c r="H124" s="466"/>
      <c r="I124" s="467"/>
      <c r="J124" s="467"/>
      <c r="K124" s="1670">
        <f>SUM(C124:J124)</f>
        <v>351858</v>
      </c>
      <c r="L124" s="466">
        <v>135000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7883</v>
      </c>
      <c r="D127" s="1670">
        <f t="shared" ref="D127:L127" si="14">SUM(D122:D126)</f>
        <v>874</v>
      </c>
      <c r="E127" s="1670">
        <f t="shared" si="14"/>
        <v>63983</v>
      </c>
      <c r="F127" s="1670">
        <f t="shared" si="14"/>
        <v>37718</v>
      </c>
      <c r="G127" s="1670">
        <f t="shared" si="14"/>
        <v>241400</v>
      </c>
      <c r="H127" s="1670">
        <f t="shared" si="14"/>
        <v>0</v>
      </c>
      <c r="I127" s="1670">
        <f t="shared" si="14"/>
        <v>0</v>
      </c>
      <c r="J127" s="1670">
        <f t="shared" si="14"/>
        <v>0</v>
      </c>
      <c r="K127" s="1670">
        <f t="shared" si="14"/>
        <v>351858</v>
      </c>
      <c r="L127" s="1670">
        <f t="shared" si="14"/>
        <v>135000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7883</v>
      </c>
      <c r="D129" s="1677">
        <f t="shared" ref="D129:L129" si="15">SUM(D120,D127,D128)</f>
        <v>874</v>
      </c>
      <c r="E129" s="1677">
        <f t="shared" si="15"/>
        <v>63983</v>
      </c>
      <c r="F129" s="1677">
        <f t="shared" si="15"/>
        <v>37718</v>
      </c>
      <c r="G129" s="1677">
        <f t="shared" si="15"/>
        <v>241400</v>
      </c>
      <c r="H129" s="1677">
        <f t="shared" si="15"/>
        <v>0</v>
      </c>
      <c r="I129" s="1677">
        <f t="shared" si="15"/>
        <v>0</v>
      </c>
      <c r="J129" s="1677">
        <f t="shared" si="15"/>
        <v>0</v>
      </c>
      <c r="K129" s="1677">
        <f t="shared" si="15"/>
        <v>351858</v>
      </c>
      <c r="L129" s="1677">
        <f t="shared" si="15"/>
        <v>135000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v>15000</v>
      </c>
      <c r="F136" s="616"/>
      <c r="G136" s="616"/>
      <c r="H136" s="466"/>
      <c r="I136" s="477"/>
      <c r="J136" s="616"/>
      <c r="K136" s="1672">
        <f>SUM(E136,H136)</f>
        <v>15000</v>
      </c>
      <c r="L136" s="466">
        <v>18000</v>
      </c>
    </row>
    <row r="137" spans="1:14" ht="12.75" customHeight="1" thickBot="1" x14ac:dyDescent="0.25">
      <c r="A137" s="1668" t="s">
        <v>480</v>
      </c>
      <c r="B137" s="1678">
        <v>4100</v>
      </c>
      <c r="C137" s="616"/>
      <c r="D137" s="616"/>
      <c r="E137" s="1670">
        <f>SUM(E133:E136)</f>
        <v>15000</v>
      </c>
      <c r="F137" s="616"/>
      <c r="G137" s="616"/>
      <c r="H137" s="1670">
        <f>SUM(H133:H136)</f>
        <v>0</v>
      </c>
      <c r="I137" s="477"/>
      <c r="J137" s="616"/>
      <c r="K137" s="1670">
        <f>SUM(K133:K136)</f>
        <v>15000</v>
      </c>
      <c r="L137" s="1670">
        <f>SUM(L133:L136)</f>
        <v>18000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15000</v>
      </c>
      <c r="F139" s="616"/>
      <c r="G139" s="616"/>
      <c r="H139" s="1679">
        <f>SUM(H137:H138)</f>
        <v>0</v>
      </c>
      <c r="I139" s="477"/>
      <c r="J139" s="616"/>
      <c r="K139" s="1672">
        <f>SUM(K137,K138)</f>
        <v>15000</v>
      </c>
      <c r="L139" s="1679">
        <f>SUM(L137,L138)</f>
        <v>18000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7" t="s">
        <v>620</v>
      </c>
      <c r="B151" s="2157"/>
      <c r="C151" s="1670">
        <f>SUM(C129,C130,C139,C149,C150)</f>
        <v>7883</v>
      </c>
      <c r="D151" s="1670">
        <f t="shared" ref="D151:K151" si="16">SUM(D129,D130,D139,D149,D150)</f>
        <v>874</v>
      </c>
      <c r="E151" s="1670">
        <f t="shared" si="16"/>
        <v>78983</v>
      </c>
      <c r="F151" s="1670">
        <f t="shared" si="16"/>
        <v>37718</v>
      </c>
      <c r="G151" s="1670">
        <f t="shared" si="16"/>
        <v>241400</v>
      </c>
      <c r="H151" s="1670">
        <f t="shared" si="16"/>
        <v>0</v>
      </c>
      <c r="I151" s="1670">
        <f t="shared" si="16"/>
        <v>0</v>
      </c>
      <c r="J151" s="1670">
        <f t="shared" si="16"/>
        <v>0</v>
      </c>
      <c r="K151" s="1670">
        <f t="shared" si="16"/>
        <v>366858</v>
      </c>
      <c r="L151" s="1670">
        <f>SUM(L129,L130,L139,L149,L150)</f>
        <v>153000</v>
      </c>
    </row>
    <row r="152" spans="1:14" ht="12.75" customHeight="1" thickTop="1" x14ac:dyDescent="0.2">
      <c r="A152" s="2180" t="s">
        <v>1178</v>
      </c>
      <c r="B152" s="2181"/>
      <c r="C152" s="618"/>
      <c r="D152" s="618"/>
      <c r="E152" s="618"/>
      <c r="F152" s="618"/>
      <c r="G152" s="618"/>
      <c r="H152" s="618"/>
      <c r="I152" s="618"/>
      <c r="J152" s="616"/>
      <c r="K152" s="1684">
        <f>'Revenues 9-14'!D268-'Expenditures 15-22'!K151</f>
        <v>-263204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60" t="s">
        <v>996</v>
      </c>
      <c r="B175" s="2161"/>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2056</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246226</v>
      </c>
      <c r="D182" s="466">
        <v>68799</v>
      </c>
      <c r="E182" s="466">
        <v>63534</v>
      </c>
      <c r="F182" s="466">
        <v>118147</v>
      </c>
      <c r="G182" s="466">
        <v>30000</v>
      </c>
      <c r="H182" s="466"/>
      <c r="I182" s="467"/>
      <c r="J182" s="467"/>
      <c r="K182" s="1671">
        <f>SUM(C182:J182)</f>
        <v>526706</v>
      </c>
      <c r="L182" s="466">
        <v>552000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246226</v>
      </c>
      <c r="D184" s="1677">
        <f t="shared" ref="D184:J184" si="17">SUM(D180,D182,D183)</f>
        <v>68799</v>
      </c>
      <c r="E184" s="1677">
        <f t="shared" si="17"/>
        <v>63534</v>
      </c>
      <c r="F184" s="1677">
        <f t="shared" si="17"/>
        <v>118147</v>
      </c>
      <c r="G184" s="1677">
        <f t="shared" si="17"/>
        <v>30000</v>
      </c>
      <c r="H184" s="1677">
        <f t="shared" si="17"/>
        <v>0</v>
      </c>
      <c r="I184" s="1677">
        <f t="shared" si="17"/>
        <v>0</v>
      </c>
      <c r="J184" s="1677">
        <f t="shared" si="17"/>
        <v>0</v>
      </c>
      <c r="K184" s="1677">
        <f>SUM(K180,K182,K183)</f>
        <v>526706</v>
      </c>
      <c r="L184" s="1677">
        <f>SUM(L180, L182:L183)</f>
        <v>552000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246226</v>
      </c>
      <c r="D210" s="1670">
        <f>SUM(D184,D185)</f>
        <v>68799</v>
      </c>
      <c r="E210" s="1670">
        <f>SUM(E184,E185,E196)</f>
        <v>63534</v>
      </c>
      <c r="F210" s="1670">
        <f>SUM(F184,F185)</f>
        <v>118147</v>
      </c>
      <c r="G210" s="1670">
        <f>SUM(G184,G185)</f>
        <v>30000</v>
      </c>
      <c r="H210" s="1670">
        <f>SUM(H184,H185,H196,H208,H209)</f>
        <v>0</v>
      </c>
      <c r="I210" s="1670">
        <f>SUM(I184,I185)</f>
        <v>0</v>
      </c>
      <c r="J210" s="1670">
        <f>SUM(J184,J185)</f>
        <v>0</v>
      </c>
      <c r="K210" s="1671">
        <f>SUM(K184,K185,K196,K208,K209)</f>
        <v>526706</v>
      </c>
      <c r="L210" s="1670">
        <f>SUM(L184,L185,L196,L208,L209)</f>
        <v>552000</v>
      </c>
    </row>
    <row r="211" spans="1:14" ht="13.5" thickTop="1" x14ac:dyDescent="0.2">
      <c r="A211" s="2160" t="s">
        <v>996</v>
      </c>
      <c r="B211" s="2161"/>
      <c r="C211" s="618"/>
      <c r="D211" s="618"/>
      <c r="E211" s="618"/>
      <c r="F211" s="618"/>
      <c r="G211" s="618"/>
      <c r="H211" s="618"/>
      <c r="I211" s="616"/>
      <c r="J211" s="616"/>
      <c r="K211" s="1684">
        <f>'Revenues 9-14'!F268-'Expenditures 15-22'!K210</f>
        <v>-294672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1803</v>
      </c>
      <c r="B249" s="683" t="s">
        <v>282</v>
      </c>
      <c r="C249" s="616"/>
      <c r="D249" s="474"/>
      <c r="E249" s="616"/>
      <c r="F249" s="616"/>
      <c r="G249" s="616"/>
      <c r="H249" s="616"/>
      <c r="I249" s="616"/>
      <c r="J249" s="616"/>
      <c r="K249" s="1672">
        <f t="shared" si="21"/>
        <v>0</v>
      </c>
      <c r="L249" s="466"/>
    </row>
    <row r="250" spans="1:12" x14ac:dyDescent="0.2">
      <c r="A250" s="1505" t="s">
        <v>1804</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60" t="s">
        <v>996</v>
      </c>
      <c r="B296" s="2161"/>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73" t="s">
        <v>996</v>
      </c>
      <c r="B343" s="2174"/>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row>
    <row r="355" spans="1:14" ht="12.75" customHeight="1" x14ac:dyDescent="0.2">
      <c r="A355" s="1513" t="s">
        <v>1851</v>
      </c>
      <c r="B355" s="690" t="s">
        <v>1844</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60" t="s">
        <v>996</v>
      </c>
      <c r="B368" s="2161"/>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1800</v>
      </c>
      <c r="B2" s="1528" t="s">
        <v>1947</v>
      </c>
      <c r="C2" s="714" t="s">
        <v>1948</v>
      </c>
      <c r="D2" s="714" t="s">
        <v>1949</v>
      </c>
      <c r="E2" s="714" t="s">
        <v>1950</v>
      </c>
      <c r="F2" s="714" t="s">
        <v>1951</v>
      </c>
    </row>
    <row r="3" spans="1:6" ht="12" customHeight="1" x14ac:dyDescent="0.2">
      <c r="A3" s="2188"/>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1800</v>
      </c>
      <c r="B2" s="2215"/>
      <c r="C2" s="1884" t="s">
        <v>1952</v>
      </c>
      <c r="D2" s="723" t="s">
        <v>1953</v>
      </c>
      <c r="E2" s="723" t="s">
        <v>1954</v>
      </c>
      <c r="F2" s="1884" t="s">
        <v>1955</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5">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0" t="s">
        <v>631</v>
      </c>
      <c r="B15" s="2201"/>
      <c r="C15" s="1755">
        <f>SUM(C6:C14)</f>
        <v>0</v>
      </c>
      <c r="D15" s="1755">
        <f>SUM(D6:D14)</f>
        <v>0</v>
      </c>
      <c r="E15" s="1755">
        <f>SUM(E6:E14)</f>
        <v>0</v>
      </c>
      <c r="F15" s="1755">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388</v>
      </c>
      <c r="B19" s="2196"/>
      <c r="C19" s="726"/>
      <c r="D19" s="585"/>
      <c r="E19" s="726"/>
      <c r="F19" s="1755">
        <f>SUM(C19+D19)-E19</f>
        <v>0</v>
      </c>
    </row>
    <row r="20" spans="1:11" ht="12.75" customHeight="1" thickTop="1" thickBot="1" x14ac:dyDescent="0.25">
      <c r="A20" s="2195" t="s">
        <v>448</v>
      </c>
      <c r="B20" s="2196"/>
      <c r="C20" s="726"/>
      <c r="D20" s="585"/>
      <c r="E20" s="726"/>
      <c r="F20" s="1755">
        <f>SUM(C20+D20)-E20</f>
        <v>0</v>
      </c>
    </row>
    <row r="21" spans="1:11" ht="14.25" thickTop="1" thickBot="1" x14ac:dyDescent="0.25">
      <c r="A21" s="2200" t="s">
        <v>632</v>
      </c>
      <c r="B21" s="2201"/>
      <c r="C21" s="1755">
        <f>SUM(C17:C20)</f>
        <v>0</v>
      </c>
      <c r="D21" s="1755">
        <f>SUM(D17:D20)</f>
        <v>0</v>
      </c>
      <c r="E21" s="1755">
        <f>SUM(E17:E20)</f>
        <v>0</v>
      </c>
      <c r="F21" s="1755">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5">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5">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5">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9" t="s">
        <v>1071</v>
      </c>
      <c r="B30" s="730" t="s">
        <v>1124</v>
      </c>
      <c r="C30" s="1885" t="s">
        <v>583</v>
      </c>
      <c r="D30" s="1885" t="s">
        <v>1673</v>
      </c>
      <c r="E30" s="1885" t="s">
        <v>1956</v>
      </c>
      <c r="F30" s="1885" t="s">
        <v>1957</v>
      </c>
      <c r="G30" s="1885" t="s">
        <v>1908</v>
      </c>
      <c r="H30" s="1885" t="s">
        <v>1958</v>
      </c>
      <c r="I30" s="1885" t="s">
        <v>1959</v>
      </c>
      <c r="J30" s="1886" t="s">
        <v>2</v>
      </c>
      <c r="K30" s="731"/>
    </row>
    <row r="31" spans="1:11" ht="12" customHeight="1" x14ac:dyDescent="0.2">
      <c r="A31" s="732" t="s">
        <v>2082</v>
      </c>
      <c r="B31" s="733">
        <v>43368</v>
      </c>
      <c r="C31" s="734">
        <v>236400</v>
      </c>
      <c r="D31" s="735">
        <v>7</v>
      </c>
      <c r="E31" s="734"/>
      <c r="F31" s="734">
        <v>236400</v>
      </c>
      <c r="G31" s="734"/>
      <c r="H31" s="734"/>
      <c r="I31" s="1756">
        <f>((E31+F31)-H31)+G31</f>
        <v>236400</v>
      </c>
      <c r="J31" s="734">
        <v>236400</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236400</v>
      </c>
      <c r="D49" s="745"/>
      <c r="E49" s="1756">
        <f t="shared" ref="E49:J49" si="2">SUM(E31:E48)</f>
        <v>0</v>
      </c>
      <c r="F49" s="1756">
        <f t="shared" si="2"/>
        <v>236400</v>
      </c>
      <c r="G49" s="1756">
        <f t="shared" si="2"/>
        <v>0</v>
      </c>
      <c r="H49" s="1756">
        <f t="shared" si="2"/>
        <v>0</v>
      </c>
      <c r="I49" s="1756">
        <f t="shared" si="2"/>
        <v>236400</v>
      </c>
      <c r="J49" s="1756">
        <f t="shared" si="2"/>
        <v>236400</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t="s">
        <v>2081</v>
      </c>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30"/>
      <c r="I1" s="760"/>
      <c r="J1" s="433"/>
    </row>
    <row r="2" spans="1:11" ht="26.25" x14ac:dyDescent="0.2">
      <c r="A2" s="2237" t="s">
        <v>1677</v>
      </c>
      <c r="B2" s="2238"/>
      <c r="C2" s="2238"/>
      <c r="D2" s="2238"/>
      <c r="E2" s="2239"/>
      <c r="F2" s="761" t="s">
        <v>904</v>
      </c>
      <c r="G2" s="762" t="s">
        <v>1674</v>
      </c>
      <c r="H2" s="762" t="s">
        <v>410</v>
      </c>
      <c r="I2" s="762" t="s">
        <v>1158</v>
      </c>
      <c r="J2" s="762" t="s">
        <v>1810</v>
      </c>
      <c r="K2" s="762" t="s">
        <v>138</v>
      </c>
    </row>
    <row r="3" spans="1:11" x14ac:dyDescent="0.2">
      <c r="A3" s="2240" t="s">
        <v>1960</v>
      </c>
      <c r="B3" s="2241"/>
      <c r="C3" s="2241"/>
      <c r="D3" s="2241"/>
      <c r="E3" s="2242"/>
      <c r="F3" s="763"/>
      <c r="G3" s="764"/>
      <c r="H3" s="764"/>
      <c r="I3" s="764"/>
      <c r="J3" s="765"/>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21" t="s">
        <v>1811</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7"/>
      <c r="G12" s="1758">
        <f>SUM(G5:G11)</f>
        <v>0</v>
      </c>
      <c r="H12" s="1758">
        <f>SUM(H5:H11)</f>
        <v>0</v>
      </c>
      <c r="I12" s="1758">
        <f>SUM(I5:I11)</f>
        <v>0</v>
      </c>
      <c r="J12" s="1758">
        <f>SUM(J5:J11)</f>
        <v>0</v>
      </c>
      <c r="K12" s="1758">
        <f>SUM(K5:K11)</f>
        <v>0</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c r="I14" s="771"/>
      <c r="J14" s="773"/>
      <c r="K14" s="765"/>
    </row>
    <row r="15" spans="1:11" x14ac:dyDescent="0.2">
      <c r="A15" s="2222" t="s">
        <v>4</v>
      </c>
      <c r="B15" s="2222"/>
      <c r="C15" s="2222"/>
      <c r="D15" s="2222"/>
      <c r="E15" s="2223"/>
      <c r="F15" s="789" t="s">
        <v>855</v>
      </c>
      <c r="G15" s="771"/>
      <c r="H15" s="764"/>
      <c r="I15" s="764"/>
      <c r="J15" s="765"/>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1807</v>
      </c>
      <c r="B19" s="2230"/>
      <c r="C19" s="2230"/>
      <c r="D19" s="2230"/>
      <c r="E19" s="2231"/>
      <c r="F19" s="789" t="s">
        <v>933</v>
      </c>
      <c r="G19" s="782"/>
      <c r="H19" s="782"/>
      <c r="I19" s="782"/>
      <c r="J19" s="765"/>
      <c r="K19" s="795"/>
    </row>
    <row r="20" spans="1:11" x14ac:dyDescent="0.2">
      <c r="A20" s="2232" t="s">
        <v>1812</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9"/>
      <c r="G21" s="792"/>
      <c r="H21" s="796"/>
      <c r="I21" s="796"/>
      <c r="J21" s="1760">
        <f>SUM(J18:J20)</f>
        <v>0</v>
      </c>
      <c r="K21" s="793"/>
    </row>
    <row r="22" spans="1:11" ht="13.5" thickTop="1" x14ac:dyDescent="0.2">
      <c r="A22" s="2222" t="s">
        <v>1813</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1"/>
      <c r="G23" s="1758">
        <f>SUM(G14:G16,G21,G22)</f>
        <v>0</v>
      </c>
      <c r="H23" s="1758">
        <f>SUM(H14:H16,H21,H22)</f>
        <v>0</v>
      </c>
      <c r="I23" s="1758">
        <f>SUM(I14:I16,I21,I22)</f>
        <v>0</v>
      </c>
      <c r="J23" s="1758">
        <f>SUM(J14:J16,J21,J22)</f>
        <v>0</v>
      </c>
      <c r="K23" s="1758">
        <f>SUM(K14:K16,K21,K22)</f>
        <v>0</v>
      </c>
    </row>
    <row r="24" spans="1:11" ht="14.25" thickTop="1" thickBot="1" x14ac:dyDescent="0.25">
      <c r="A24" s="2252" t="s">
        <v>1961</v>
      </c>
      <c r="B24" s="2251"/>
      <c r="C24" s="2251"/>
      <c r="D24" s="2251"/>
      <c r="E24" s="225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12" sqref="L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1906</v>
      </c>
      <c r="B1" s="2258"/>
      <c r="C1" s="2259"/>
      <c r="D1" s="826"/>
      <c r="E1" s="827"/>
      <c r="F1" s="827"/>
      <c r="G1" s="828"/>
      <c r="H1" s="829"/>
      <c r="I1" s="830"/>
      <c r="J1" s="2255"/>
      <c r="K1" s="2256"/>
      <c r="L1" s="2256"/>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231775</v>
      </c>
      <c r="D8" s="844">
        <v>241400</v>
      </c>
      <c r="E8" s="844"/>
      <c r="F8" s="1760">
        <f>(C8+D8)-E8</f>
        <v>473175</v>
      </c>
      <c r="G8" s="843">
        <v>50</v>
      </c>
      <c r="H8" s="765">
        <v>218751</v>
      </c>
      <c r="I8" s="765">
        <v>9727</v>
      </c>
      <c r="J8" s="765"/>
      <c r="K8" s="1769">
        <f>(H8+I8)-J8</f>
        <v>228478</v>
      </c>
      <c r="L8" s="1769">
        <f>F8-K8</f>
        <v>244697</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144748</v>
      </c>
      <c r="D10" s="846"/>
      <c r="E10" s="846"/>
      <c r="F10" s="1764">
        <f>(C10+D10)-E10</f>
        <v>144748</v>
      </c>
      <c r="G10" s="843">
        <v>20</v>
      </c>
      <c r="H10" s="847">
        <v>49016</v>
      </c>
      <c r="I10" s="847">
        <v>7237</v>
      </c>
      <c r="J10" s="847"/>
      <c r="K10" s="1769">
        <f>(H10+I10)-J10</f>
        <v>56253</v>
      </c>
      <c r="L10" s="1769">
        <f>F10-K10</f>
        <v>88495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1200769</v>
      </c>
      <c r="D12" s="844">
        <v>5088</v>
      </c>
      <c r="E12" s="844"/>
      <c r="F12" s="1760">
        <f>(C12+D12)-E12</f>
        <v>1205857</v>
      </c>
      <c r="G12" s="843">
        <v>10</v>
      </c>
      <c r="H12" s="765">
        <v>1089775</v>
      </c>
      <c r="I12" s="765">
        <v>36390</v>
      </c>
      <c r="J12" s="765"/>
      <c r="K12" s="1769">
        <f>(H12+I12)-J12</f>
        <v>1126165</v>
      </c>
      <c r="L12" s="1769">
        <f>F12-K12</f>
        <v>79692</v>
      </c>
    </row>
    <row r="13" spans="1:14" ht="14.25" thickTop="1" thickBot="1" x14ac:dyDescent="0.25">
      <c r="A13" s="848" t="s">
        <v>1122</v>
      </c>
      <c r="B13" s="840">
        <v>252</v>
      </c>
      <c r="C13" s="844">
        <v>463445</v>
      </c>
      <c r="D13" s="844">
        <v>30000</v>
      </c>
      <c r="E13" s="844"/>
      <c r="F13" s="1760">
        <f>(C13+D13)-E13</f>
        <v>493445</v>
      </c>
      <c r="G13" s="843">
        <v>5</v>
      </c>
      <c r="H13" s="765">
        <v>218468</v>
      </c>
      <c r="I13" s="765">
        <v>22646</v>
      </c>
      <c r="J13" s="765"/>
      <c r="K13" s="1769">
        <f>(H13+I13)-J13</f>
        <v>241114</v>
      </c>
      <c r="L13" s="1769">
        <f>F13-K13</f>
        <v>252331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2040737</v>
      </c>
      <c r="D16" s="1760">
        <f>SUM(D3,D5:D6,D8:D10,D12:D15)</f>
        <v>276488</v>
      </c>
      <c r="E16" s="1760">
        <f>SUM(E3,E5:E6,E8:E10,E12:E15)</f>
        <v>0</v>
      </c>
      <c r="F16" s="1760">
        <f>SUM(F3,F5:F6,F8:F10,F12:F15)</f>
        <v>2317225</v>
      </c>
      <c r="G16" s="843"/>
      <c r="H16" s="1760">
        <f>SUM(H3,H6,H8:H10,H12:H14,)</f>
        <v>1576010</v>
      </c>
      <c r="I16" s="1760">
        <f>SUM(I3,I6,I8:I10,I12:I14,)</f>
        <v>76000</v>
      </c>
      <c r="J16" s="1760">
        <f>SUM(J3,J6,J8:J10,J12:J14,)</f>
        <v>0</v>
      </c>
      <c r="K16" s="1760">
        <f>(H16+I16)-J16</f>
        <v>1652010</v>
      </c>
      <c r="L16" s="1760">
        <f>F16-K16</f>
        <v>665215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76000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1971</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5169822</v>
      </c>
      <c r="G8" s="865"/>
    </row>
    <row r="9" spans="1:7" x14ac:dyDescent="0.2">
      <c r="A9" s="869" t="s">
        <v>460</v>
      </c>
      <c r="B9" s="870" t="s">
        <v>1874</v>
      </c>
      <c r="C9" s="871"/>
      <c r="D9" s="869" t="s">
        <v>501</v>
      </c>
      <c r="E9" s="868"/>
      <c r="F9" s="1909">
        <f>'Expenditures 15-22'!K151</f>
        <v>366858</v>
      </c>
      <c r="G9" s="872"/>
    </row>
    <row r="10" spans="1:7" x14ac:dyDescent="0.2">
      <c r="A10" s="869" t="s">
        <v>499</v>
      </c>
      <c r="B10" s="870" t="s">
        <v>1875</v>
      </c>
      <c r="C10" s="871"/>
      <c r="D10" s="869" t="s">
        <v>501</v>
      </c>
      <c r="E10" s="868"/>
      <c r="F10" s="1909">
        <f>'Expenditures 15-22'!K174</f>
        <v>0</v>
      </c>
      <c r="G10" s="872"/>
    </row>
    <row r="11" spans="1:7" x14ac:dyDescent="0.2">
      <c r="A11" s="869" t="s">
        <v>461</v>
      </c>
      <c r="B11" s="870" t="s">
        <v>1876</v>
      </c>
      <c r="C11" s="871"/>
      <c r="D11" s="869" t="s">
        <v>501</v>
      </c>
      <c r="E11" s="868"/>
      <c r="F11" s="1909">
        <f>'Expenditures 15-22'!K210</f>
        <v>526706</v>
      </c>
      <c r="G11" s="872"/>
    </row>
    <row r="12" spans="1:7" x14ac:dyDescent="0.2">
      <c r="A12" s="869" t="s">
        <v>462</v>
      </c>
      <c r="B12" s="870" t="s">
        <v>1877</v>
      </c>
      <c r="C12" s="871"/>
      <c r="D12" s="869" t="s">
        <v>501</v>
      </c>
      <c r="E12" s="868"/>
      <c r="F12" s="1909">
        <f>'Expenditures 15-22'!K295</f>
        <v>0</v>
      </c>
      <c r="G12" s="872"/>
    </row>
    <row r="13" spans="1:7" x14ac:dyDescent="0.2">
      <c r="A13" s="869" t="s">
        <v>106</v>
      </c>
      <c r="B13" s="870" t="s">
        <v>1878</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6063386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231033</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14">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1998</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173160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11608</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0</v>
      </c>
      <c r="G53" s="865"/>
    </row>
    <row r="54" spans="1:7" x14ac:dyDescent="0.2">
      <c r="A54" s="869" t="s">
        <v>459</v>
      </c>
      <c r="B54" s="869" t="s">
        <v>1476</v>
      </c>
      <c r="C54" s="889" t="s">
        <v>982</v>
      </c>
      <c r="D54" s="885" t="s">
        <v>1095</v>
      </c>
      <c r="E54" s="868"/>
      <c r="F54" s="1913">
        <f>'Expenditures 15-22'!G114</f>
        <v>5088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15000</v>
      </c>
      <c r="G57" s="865"/>
    </row>
    <row r="58" spans="1:7" x14ac:dyDescent="0.2">
      <c r="A58" s="869" t="s">
        <v>460</v>
      </c>
      <c r="B58" s="869" t="s">
        <v>1880</v>
      </c>
      <c r="C58" s="886" t="s">
        <v>982</v>
      </c>
      <c r="D58" s="885" t="s">
        <v>1095</v>
      </c>
      <c r="E58" s="868"/>
      <c r="F58" s="1915">
        <f>'Expenditures 15-22'!G151</f>
        <v>241400</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30000</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0</v>
      </c>
      <c r="G71" s="865"/>
    </row>
    <row r="72" spans="1:8" x14ac:dyDescent="0.2">
      <c r="A72" s="869" t="s">
        <v>462</v>
      </c>
      <c r="B72" s="869" t="s">
        <v>1893</v>
      </c>
      <c r="C72" s="886">
        <f>'Expenditures 15-22'!B280</f>
        <v>3000</v>
      </c>
      <c r="D72" s="876" t="s">
        <v>449</v>
      </c>
      <c r="E72" s="868"/>
      <c r="F72" s="1913">
        <f>'Expenditures 15-22'!K280</f>
        <v>0</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707289</v>
      </c>
      <c r="G76" s="865"/>
    </row>
    <row r="77" spans="1:8" s="893" customFormat="1" ht="12" customHeight="1" thickTop="1" thickBot="1" x14ac:dyDescent="0.25">
      <c r="A77" s="1779"/>
      <c r="B77" s="1776"/>
      <c r="C77" s="1772"/>
      <c r="D77" s="1777" t="s">
        <v>1897</v>
      </c>
      <c r="E77" s="1774"/>
      <c r="F77" s="1780">
        <f>(F14-F76)</f>
        <v>5356097</v>
      </c>
      <c r="G77" s="869"/>
    </row>
    <row r="78" spans="1:8" s="893" customFormat="1" ht="12" customHeight="1" thickTop="1" x14ac:dyDescent="0.2">
      <c r="A78" s="1781"/>
      <c r="B78" s="1776"/>
      <c r="C78" s="1772"/>
      <c r="D78" s="1777" t="s">
        <v>2058</v>
      </c>
      <c r="E78" s="1774"/>
      <c r="F78" s="898">
        <v>0</v>
      </c>
      <c r="G78" s="899"/>
      <c r="H78" s="869"/>
    </row>
    <row r="79" spans="1:8" s="893" customFormat="1" ht="12" customHeight="1" thickBot="1" x14ac:dyDescent="0.25">
      <c r="A79" s="1782"/>
      <c r="B79" s="1776"/>
      <c r="C79" s="1772"/>
      <c r="D79" s="1777" t="s">
        <v>1898</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880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9516</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93598</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1999</v>
      </c>
      <c r="C105" s="913">
        <v>3100</v>
      </c>
      <c r="D105" s="919" t="str">
        <f>'Revenues 9-14'!A132</f>
        <v>Total Special Education</v>
      </c>
      <c r="E105" s="906"/>
      <c r="F105" s="1789">
        <f>SUM('Revenues 9-14'!C132:D132,'Revenues 9-14'!F132)</f>
        <v>0</v>
      </c>
      <c r="G105" s="912"/>
    </row>
    <row r="106" spans="1:7" x14ac:dyDescent="0.2">
      <c r="A106" s="908" t="s">
        <v>673</v>
      </c>
      <c r="B106" s="908" t="s">
        <v>2000</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2001</v>
      </c>
      <c r="C107" s="920">
        <v>3300</v>
      </c>
      <c r="D107" s="911" t="str">
        <f>'Revenues 9-14'!A145</f>
        <v>Total Bilingual Ed</v>
      </c>
      <c r="E107" s="906"/>
      <c r="F107" s="1789">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9">
        <f>'Revenues 9-14'!C146</f>
        <v>130</v>
      </c>
      <c r="G108" s="912"/>
    </row>
    <row r="109" spans="1:7" x14ac:dyDescent="0.2">
      <c r="A109" s="908" t="s">
        <v>673</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0</v>
      </c>
      <c r="G110" s="912"/>
    </row>
    <row r="111" spans="1:7" x14ac:dyDescent="0.2">
      <c r="A111" s="908" t="s">
        <v>668</v>
      </c>
      <c r="B111" s="908" t="s">
        <v>2005</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2006</v>
      </c>
      <c r="C112" s="920">
        <f>'Revenues 9-14'!B156</f>
        <v>3610</v>
      </c>
      <c r="D112" s="911" t="str">
        <f>'Revenues 9-14'!A156</f>
        <v>Learning Improvement - Change Grants</v>
      </c>
      <c r="E112" s="906"/>
      <c r="F112" s="1789">
        <f>'Revenues 9-14'!C156</f>
        <v>0</v>
      </c>
      <c r="G112" s="912"/>
    </row>
    <row r="113" spans="1:7" x14ac:dyDescent="0.2">
      <c r="A113" s="908" t="s">
        <v>668</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7">
        <f>SUM('Revenues 9-14'!C163:G163)</f>
        <v>0</v>
      </c>
      <c r="G118" s="912"/>
    </row>
    <row r="119" spans="1:7" x14ac:dyDescent="0.2">
      <c r="A119" s="923" t="s">
        <v>504</v>
      </c>
      <c r="B119" s="923" t="s">
        <v>2013</v>
      </c>
      <c r="C119" s="924">
        <f>'Revenues 9-14'!B164</f>
        <v>3815</v>
      </c>
      <c r="D119" s="925" t="str">
        <f>'Revenues 9-14'!A164</f>
        <v>State Charter Schools</v>
      </c>
      <c r="E119" s="906"/>
      <c r="F119" s="1907">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9">
        <f>'Revenues 9-14'!D167</f>
        <v>0</v>
      </c>
      <c r="G120" s="930"/>
    </row>
    <row r="121" spans="1:7" x14ac:dyDescent="0.2">
      <c r="A121" s="927" t="s">
        <v>500</v>
      </c>
      <c r="B121" s="927" t="s">
        <v>2015</v>
      </c>
      <c r="C121" s="928">
        <f>'Revenues 9-14'!B168</f>
        <v>3999</v>
      </c>
      <c r="D121" s="929" t="s">
        <v>543</v>
      </c>
      <c r="E121" s="931"/>
      <c r="F121" s="1789">
        <f>SUM('Revenues 9-14'!C168:G168,'Revenues 9-14'!J168)</f>
        <v>0</v>
      </c>
      <c r="G121" s="930"/>
    </row>
    <row r="122" spans="1:7" x14ac:dyDescent="0.2">
      <c r="A122" s="927" t="s">
        <v>459</v>
      </c>
      <c r="B122" s="927" t="s">
        <v>2016</v>
      </c>
      <c r="C122" s="932">
        <f>'Revenues 9-14'!B177</f>
        <v>4045</v>
      </c>
      <c r="D122" s="929" t="str">
        <f>'Revenues 9-14'!A177 &amp; " (Subtract)"</f>
        <v>Head Start (Subtract)</v>
      </c>
      <c r="E122" s="906"/>
      <c r="F122" s="1789">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2018</v>
      </c>
      <c r="C124" s="932">
        <v>4100</v>
      </c>
      <c r="D124" s="933" t="str">
        <f>'Revenues 9-14'!A188</f>
        <v>Total Title V</v>
      </c>
      <c r="E124" s="906"/>
      <c r="F124" s="1789">
        <f>SUM('Revenues 9-14'!C188,'Revenues 9-14'!D188,'Revenues 9-14'!F188,'Revenues 9-14'!G188)</f>
        <v>0</v>
      </c>
      <c r="G124" s="930"/>
    </row>
    <row r="125" spans="1:7" x14ac:dyDescent="0.2">
      <c r="A125" s="927" t="s">
        <v>664</v>
      </c>
      <c r="B125" s="927" t="s">
        <v>2019</v>
      </c>
      <c r="C125" s="932">
        <v>4200</v>
      </c>
      <c r="D125" s="929" t="str">
        <f>'Revenues 9-14'!A198</f>
        <v>Total Food Service</v>
      </c>
      <c r="E125" s="906"/>
      <c r="F125" s="1789">
        <f>SUM('Revenues 9-14'!C198,'Revenues 9-14'!G198)</f>
        <v>5982</v>
      </c>
      <c r="G125" s="930"/>
    </row>
    <row r="126" spans="1:7" x14ac:dyDescent="0.2">
      <c r="A126" s="927" t="s">
        <v>668</v>
      </c>
      <c r="B126" s="927" t="s">
        <v>2020</v>
      </c>
      <c r="C126" s="932">
        <v>4300</v>
      </c>
      <c r="D126" s="933" t="str">
        <f>'Revenues 9-14'!A204</f>
        <v>Total Title I</v>
      </c>
      <c r="E126" s="906"/>
      <c r="F126" s="1789">
        <f>SUM('Revenues 9-14'!C204,'Revenues 9-14'!D204,'Revenues 9-14'!F204,'Revenues 9-14'!G204)</f>
        <v>0</v>
      </c>
      <c r="G126" s="930"/>
    </row>
    <row r="127" spans="1:7" x14ac:dyDescent="0.2">
      <c r="A127" s="927" t="s">
        <v>668</v>
      </c>
      <c r="B127" s="927" t="s">
        <v>2021</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2022</v>
      </c>
      <c r="C128" s="932">
        <f>'Revenues 9-14'!B213</f>
        <v>4620</v>
      </c>
      <c r="D128" s="933" t="str">
        <f>'Revenues 9-14'!A213</f>
        <v>Fed - Spec Education - IDEA - Flow Through</v>
      </c>
      <c r="E128" s="906"/>
      <c r="F128" s="1789">
        <f>SUM('Revenues 9-14'!C213:D213,'Revenues 9-14'!F213:G213)</f>
        <v>374466</v>
      </c>
      <c r="G128" s="930"/>
    </row>
    <row r="129" spans="1:7" x14ac:dyDescent="0.2">
      <c r="A129" s="927" t="s">
        <v>668</v>
      </c>
      <c r="B129" s="927" t="s">
        <v>2023</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2025</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2040</v>
      </c>
      <c r="C157" s="940" t="s">
        <v>841</v>
      </c>
      <c r="D157" s="941" t="s">
        <v>777</v>
      </c>
      <c r="E157" s="942"/>
      <c r="F157" s="1789">
        <f>SUM(F133:F156)</f>
        <v>0</v>
      </c>
      <c r="G157" s="905"/>
    </row>
    <row r="158" spans="1:7" s="867" customFormat="1" x14ac:dyDescent="0.2">
      <c r="A158" s="938" t="s">
        <v>459</v>
      </c>
      <c r="B158" s="939" t="s">
        <v>2041</v>
      </c>
      <c r="C158" s="940" t="s">
        <v>1427</v>
      </c>
      <c r="D158" s="941" t="s">
        <v>1428</v>
      </c>
      <c r="E158" s="942"/>
      <c r="F158" s="1789">
        <f>SUM('Revenues 9-14'!C253)</f>
        <v>0</v>
      </c>
      <c r="G158" s="905"/>
    </row>
    <row r="159" spans="1:7" s="867" customFormat="1" x14ac:dyDescent="0.2">
      <c r="A159" s="938" t="s">
        <v>500</v>
      </c>
      <c r="B159" s="939" t="s">
        <v>2042</v>
      </c>
      <c r="C159" s="940" t="s">
        <v>1466</v>
      </c>
      <c r="D159" s="941" t="s">
        <v>1467</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9">
        <f>SUM('Revenues 9-14'!C263:D263,'Revenues 9-14'!F263:G263)</f>
        <v>30458</v>
      </c>
      <c r="G168" s="947">
        <v>6320</v>
      </c>
    </row>
    <row r="169" spans="1:7" x14ac:dyDescent="0.2">
      <c r="A169" s="927" t="s">
        <v>668</v>
      </c>
      <c r="B169" s="927" t="s">
        <v>2050</v>
      </c>
      <c r="C169" s="932">
        <f>'Revenues 9-14'!B264</f>
        <v>4992</v>
      </c>
      <c r="D169" s="933" t="str">
        <f>'Revenues 9-14'!A264</f>
        <v>Medicaid Matching Funds - Fee-for-Service Program</v>
      </c>
      <c r="E169" s="906"/>
      <c r="F169" s="1789">
        <f>SUM('Revenues 9-14'!C264:D264,'Revenues 9-14'!F264:G264)</f>
        <v>54656</v>
      </c>
      <c r="G169" s="947"/>
    </row>
    <row r="170" spans="1:7" x14ac:dyDescent="0.2">
      <c r="A170" s="948" t="s">
        <v>668</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1917</v>
      </c>
      <c r="C171" s="1920">
        <v>3100</v>
      </c>
      <c r="D171" s="1921" t="s">
        <v>1919</v>
      </c>
      <c r="E171" s="906"/>
      <c r="F171" s="1906"/>
      <c r="G171" s="927"/>
    </row>
    <row r="172" spans="1:7" x14ac:dyDescent="0.2">
      <c r="A172" s="1918" t="s">
        <v>664</v>
      </c>
      <c r="B172" s="1919" t="s">
        <v>1917</v>
      </c>
      <c r="C172" s="1920">
        <v>3300</v>
      </c>
      <c r="D172" s="1921" t="s">
        <v>1920</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958</v>
      </c>
      <c r="F174" s="1788">
        <f>SUM(F84:F132,F157:F172)</f>
        <v>569686</v>
      </c>
    </row>
    <row r="175" spans="1:7" ht="12" customHeight="1" x14ac:dyDescent="0.2">
      <c r="A175" s="1770"/>
      <c r="B175" s="1784"/>
      <c r="C175" s="1785"/>
      <c r="D175" s="1786" t="s">
        <v>2053</v>
      </c>
      <c r="E175" s="1787"/>
      <c r="F175" s="1789">
        <f>'PCTC-OEPP 27-28'!F77-F174</f>
        <v>4786411</v>
      </c>
    </row>
    <row r="176" spans="1:7" ht="12" customHeight="1" x14ac:dyDescent="0.2">
      <c r="A176" s="1770"/>
      <c r="B176" s="1784"/>
      <c r="C176" s="1785"/>
      <c r="D176" s="1786" t="s">
        <v>1815</v>
      </c>
      <c r="E176" s="1787"/>
      <c r="F176" s="1789">
        <f>'Cap Outlay Deprec 26'!I18</f>
        <v>76000</v>
      </c>
    </row>
    <row r="177" spans="1:7" ht="12" customHeight="1" x14ac:dyDescent="0.2">
      <c r="A177" s="1770"/>
      <c r="B177" s="1784"/>
      <c r="C177" s="1785"/>
      <c r="D177" s="1786" t="s">
        <v>2054</v>
      </c>
      <c r="E177" s="1787"/>
      <c r="F177" s="1789">
        <f>F175+F176</f>
        <v>4862411</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2055</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1816</v>
      </c>
      <c r="B4" s="2275"/>
      <c r="C4" s="2275"/>
      <c r="D4" s="2275"/>
      <c r="E4" s="2275"/>
      <c r="F4" s="2275"/>
      <c r="G4" s="2276"/>
    </row>
    <row r="5" spans="1:7" x14ac:dyDescent="0.25">
      <c r="A5" s="2277"/>
      <c r="B5" s="2278"/>
      <c r="C5" s="2278"/>
      <c r="D5" s="2278"/>
      <c r="E5" s="2278"/>
      <c r="F5" s="2278"/>
      <c r="G5" s="2279"/>
    </row>
    <row r="6" spans="1:7" ht="18.75" x14ac:dyDescent="0.25">
      <c r="A6" s="1938" t="s">
        <v>2062</v>
      </c>
      <c r="B6" s="1939"/>
      <c r="C6" s="1939"/>
      <c r="D6" s="1939"/>
      <c r="E6" s="1939"/>
      <c r="F6" s="1939"/>
      <c r="G6" s="1940"/>
    </row>
    <row r="7" spans="1:7" ht="18.75" x14ac:dyDescent="0.25">
      <c r="A7" s="1534" t="s">
        <v>1817</v>
      </c>
      <c r="B7" s="1535"/>
      <c r="C7" s="1535"/>
      <c r="D7" s="1535"/>
      <c r="E7" s="1535"/>
      <c r="F7" s="1535"/>
      <c r="G7" s="1536"/>
    </row>
    <row r="8" spans="1:7" ht="30.75" customHeight="1" x14ac:dyDescent="0.25">
      <c r="A8" s="2280" t="s">
        <v>1929</v>
      </c>
      <c r="B8" s="2281"/>
      <c r="C8" s="2281"/>
      <c r="D8" s="2281"/>
      <c r="E8" s="2281"/>
      <c r="F8" s="2281"/>
      <c r="G8" s="2282"/>
    </row>
    <row r="9" spans="1:7" ht="15.75" customHeight="1" x14ac:dyDescent="0.25">
      <c r="A9" s="2283" t="s">
        <v>1904</v>
      </c>
      <c r="B9" s="2284"/>
      <c r="C9" s="2284"/>
      <c r="D9" s="2284"/>
      <c r="E9" s="2284"/>
      <c r="F9" s="2284"/>
      <c r="G9" s="2285"/>
    </row>
    <row r="10" spans="1:7" ht="35.25" customHeight="1" x14ac:dyDescent="0.25">
      <c r="A10" s="2280" t="s">
        <v>2061</v>
      </c>
      <c r="B10" s="2281"/>
      <c r="C10" s="2281"/>
      <c r="D10" s="2281"/>
      <c r="E10" s="2281"/>
      <c r="F10" s="2281"/>
      <c r="G10" s="2282"/>
    </row>
    <row r="11" spans="1:7" ht="15" customHeight="1" x14ac:dyDescent="0.25">
      <c r="A11" s="1537" t="s">
        <v>1818</v>
      </c>
      <c r="B11" s="1538"/>
      <c r="C11" s="1538"/>
      <c r="D11" s="1538"/>
      <c r="E11" s="1538"/>
      <c r="F11" s="1538"/>
      <c r="G11" s="1539"/>
    </row>
    <row r="12" spans="1:7" ht="17.25" customHeight="1" x14ac:dyDescent="0.25">
      <c r="A12" s="2280" t="s">
        <v>1931</v>
      </c>
      <c r="B12" s="2281"/>
      <c r="C12" s="2281"/>
      <c r="D12" s="2281"/>
      <c r="E12" s="2281"/>
      <c r="F12" s="2281"/>
      <c r="G12" s="2282"/>
    </row>
    <row r="13" spans="1:7" ht="15" customHeight="1" x14ac:dyDescent="0.25">
      <c r="A13" s="1537" t="s">
        <v>1823</v>
      </c>
      <c r="B13" s="1538"/>
      <c r="C13" s="1538"/>
      <c r="D13" s="1538"/>
      <c r="E13" s="1538"/>
      <c r="F13" s="1538"/>
      <c r="G13" s="1539"/>
    </row>
    <row r="14" spans="1:7" ht="32.25" customHeight="1" x14ac:dyDescent="0.25">
      <c r="A14" s="2271" t="s">
        <v>1972</v>
      </c>
      <c r="B14" s="2272"/>
      <c r="C14" s="2272"/>
      <c r="D14" s="2272"/>
      <c r="E14" s="2272"/>
      <c r="F14" s="2272"/>
      <c r="G14" s="2273"/>
    </row>
    <row r="15" spans="1:7" x14ac:dyDescent="0.25">
      <c r="A15" s="1661" t="s">
        <v>1831</v>
      </c>
      <c r="B15" s="1662"/>
      <c r="C15" s="1662"/>
      <c r="D15" s="1662"/>
      <c r="E15" s="1662"/>
      <c r="F15" s="1662"/>
      <c r="G15" s="1663"/>
    </row>
    <row r="16" spans="1:7" ht="61.5" customHeight="1" x14ac:dyDescent="0.25">
      <c r="A16" s="1546" t="s">
        <v>1824</v>
      </c>
      <c r="B16" s="1546" t="s">
        <v>1825</v>
      </c>
      <c r="C16" s="1546" t="s">
        <v>1826</v>
      </c>
      <c r="D16" s="1547" t="s">
        <v>1827</v>
      </c>
      <c r="E16" s="1547" t="s">
        <v>1819</v>
      </c>
      <c r="F16" s="1547" t="s">
        <v>1828</v>
      </c>
      <c r="G16" s="1547" t="s">
        <v>1829</v>
      </c>
    </row>
    <row r="17" spans="1:8" x14ac:dyDescent="0.25">
      <c r="A17" s="1648" t="s">
        <v>1832</v>
      </c>
      <c r="B17" s="1649" t="s">
        <v>1822</v>
      </c>
      <c r="C17" s="1650" t="s">
        <v>1820</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2083</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10776</v>
      </c>
      <c r="F10" s="974"/>
      <c r="G10" s="975"/>
      <c r="H10" s="162"/>
      <c r="I10" s="162"/>
    </row>
    <row r="11" spans="1:9" s="668" customFormat="1" ht="22.5" customHeight="1" x14ac:dyDescent="0.2">
      <c r="A11" s="2291" t="s">
        <v>1973</v>
      </c>
      <c r="B11" s="2292"/>
      <c r="C11" s="2292"/>
      <c r="D11" s="2293"/>
      <c r="E11" s="977">
        <v>684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3583763</v>
      </c>
      <c r="F19" s="1799"/>
      <c r="G19" s="1801">
        <f>'Expenditures 15-22'!K33-SUM('Expenditures 15-22'!G33,'Expenditures 15-22'!I33)+'Expenditures 15-22'!D229</f>
        <v>3583763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853163</v>
      </c>
      <c r="F21" s="1802"/>
      <c r="G21" s="1805">
        <f>'Expenditures 15-22'!K42-SUM('Expenditures 15-22'!G42,'Expenditures 15-22'!I42)+'Expenditures 15-22'!K120-SUM('Expenditures 15-22'!G120,'Expenditures 15-22'!I120)+'Expenditures 15-22'!K180-SUM('Expenditures 15-22'!G180,'Expenditures 15-22'!I180)+'Expenditures 15-22'!D238</f>
        <v>853163</v>
      </c>
      <c r="H21" s="987"/>
      <c r="I21" s="162"/>
    </row>
    <row r="22" spans="1:9" s="668" customFormat="1" ht="12" customHeight="1" x14ac:dyDescent="0.2">
      <c r="A22" s="994" t="s">
        <v>564</v>
      </c>
      <c r="B22" s="995"/>
      <c r="C22" s="993">
        <v>2200</v>
      </c>
      <c r="D22" s="1802"/>
      <c r="E22" s="1804">
        <f>'Expenditures 15-22'!K47-SUM('Expenditures 15-22'!G47,'Expenditures 15-22'!I47)+'Expenditures 15-22'!D243</f>
        <v>69136</v>
      </c>
      <c r="F22" s="1802"/>
      <c r="G22" s="1805">
        <f>'Expenditures 15-22'!K47-SUM('Expenditures 15-22'!G47,'Expenditures 15-22'!I47)+'Expenditures 15-22'!D243</f>
        <v>69136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441729</v>
      </c>
      <c r="F23" s="1802"/>
      <c r="G23" s="1804">
        <f>'Expenditures 15-22'!K53-SUM('Expenditures 15-22'!G53,'Expenditures 15-22'!I53)+'Expenditures 15-22'!D257+'Expenditures 15-22'!K330-SUM('Expenditures 15-22'!G330,'Expenditures 15-22'!I330)</f>
        <v>441729</v>
      </c>
      <c r="H23" s="987"/>
      <c r="I23" s="162"/>
    </row>
    <row r="24" spans="1:9" s="668" customFormat="1" ht="12" customHeight="1" x14ac:dyDescent="0.2">
      <c r="A24" s="994" t="s">
        <v>566</v>
      </c>
      <c r="B24" s="995"/>
      <c r="C24" s="993">
        <v>2400</v>
      </c>
      <c r="D24" s="1802"/>
      <c r="E24" s="1804">
        <f>'Expenditures 15-22'!K57-SUM('Expenditures 15-22'!G57,'Expenditures 15-22'!I57)+'Expenditures 15-22'!D261</f>
        <v>144453</v>
      </c>
      <c r="F24" s="1802"/>
      <c r="G24" s="1805">
        <f>'Expenditures 15-22'!K57-SUM('Expenditures 15-22'!G57,'Expenditures 15-22'!I57)+'Expenditures 15-22'!D261</f>
        <v>144453</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50546</v>
      </c>
      <c r="E27" s="1804">
        <f>E8</f>
        <v>0</v>
      </c>
      <c r="F27" s="1804">
        <f>'Expenditures 15-22'!K60-SUM('Expenditures 15-22'!G60,'Expenditures 15-22'!I60)+'Expenditures 15-22'!D264-E8</f>
        <v>50546</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110458</v>
      </c>
      <c r="F28" s="1806">
        <f>'Expenditures 15-22'!K61-SUM('Expenditures 15-22'!G61,'Expenditures 15-22'!I61)+'Expenditures 15-22'!K124-SUM('Expenditures 15-22'!G124,'Expenditures 15-22'!I124)+'Expenditures 15-22'!D266-E9</f>
        <v>110458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496706</v>
      </c>
      <c r="F29" s="1802"/>
      <c r="G29" s="1805">
        <f>'Expenditures 15-22'!K62-SUM('Expenditures 15-22'!G62,'Expenditures 15-22'!I62)+'Expenditures 15-22'!K125-SUM('Expenditures 15-22'!G125,'Expenditures 15-22'!I125)+'Expenditures 15-22'!K182-SUM('Expenditures 15-22'!G182,'Expenditures 15-22'!I182)+'Expenditures 15-22'!D267</f>
        <v>496706</v>
      </c>
      <c r="H29" s="985"/>
    </row>
    <row r="30" spans="1:9" ht="12" customHeight="1" x14ac:dyDescent="0.2">
      <c r="A30" s="994" t="s">
        <v>100</v>
      </c>
      <c r="B30" s="997"/>
      <c r="C30" s="993">
        <v>2560</v>
      </c>
      <c r="D30" s="1802"/>
      <c r="E30" s="1804">
        <f>'Expenditures 15-22'!K63-SUM('Expenditures 15-22'!G63,'Expenditures 15-22'!I63)+'Expenditures 15-22'!D268-E10</f>
        <v>11168</v>
      </c>
      <c r="F30" s="1802"/>
      <c r="G30" s="1804">
        <f>'Expenditures 15-22'!K63-SUM('Expenditures 15-22'!G63,'Expenditures 15-22'!I63)+'Expenditures 15-22'!D268-E10</f>
        <v>11168</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50546</v>
      </c>
      <c r="E41" s="1806">
        <f>SUM(E19:E40)</f>
        <v>5710576</v>
      </c>
      <c r="F41" s="1806">
        <f>SUM(F19:F39)</f>
        <v>161004</v>
      </c>
      <c r="G41" s="1806">
        <f>SUM(G19:G40)</f>
        <v>5600118</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50546</v>
      </c>
      <c r="F43" s="1807" t="s">
        <v>473</v>
      </c>
      <c r="G43" s="1808">
        <f>F41</f>
        <v>161004</v>
      </c>
    </row>
    <row r="44" spans="1:7" ht="12" customHeight="1" x14ac:dyDescent="0.2">
      <c r="A44" s="987"/>
      <c r="B44" s="162"/>
      <c r="C44" s="1001"/>
      <c r="D44" s="1807" t="s">
        <v>474</v>
      </c>
      <c r="E44" s="1808">
        <f>E41</f>
        <v>5710576</v>
      </c>
      <c r="F44" s="1807" t="s">
        <v>474</v>
      </c>
      <c r="G44" s="1808">
        <f>G41</f>
        <v>5600118</v>
      </c>
    </row>
    <row r="45" spans="1:7" ht="12" customHeight="1" x14ac:dyDescent="0.2">
      <c r="A45" s="987"/>
      <c r="B45" s="162"/>
      <c r="C45" s="162"/>
      <c r="D45" s="1809" t="s">
        <v>1006</v>
      </c>
      <c r="E45" s="1810">
        <f>(E43/E44)</f>
        <v>8.8512962615329878E-3</v>
      </c>
      <c r="F45" s="1809" t="s">
        <v>1006</v>
      </c>
      <c r="G45" s="1810">
        <f>(G43/G44)</f>
        <v>2.8750108479857032E-2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1379</v>
      </c>
      <c r="B1" s="2308"/>
      <c r="C1" s="2308"/>
      <c r="D1" s="2308"/>
      <c r="E1" s="2308"/>
      <c r="F1" s="2308"/>
    </row>
    <row r="2" spans="1:10" x14ac:dyDescent="0.2">
      <c r="A2" s="1887" t="s">
        <v>1909</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09" t="s">
        <v>1546</v>
      </c>
      <c r="B5" s="2310"/>
      <c r="C5" s="2311"/>
      <c r="D5" s="2311"/>
      <c r="E5" s="2311"/>
      <c r="F5" s="2311"/>
    </row>
    <row r="6" spans="1:10" ht="12" customHeight="1" x14ac:dyDescent="0.25">
      <c r="A6" s="1850"/>
      <c r="B6" s="1851"/>
      <c r="C6" s="2312" t="str">
        <f>COVER!A17</f>
        <v>Iroquois Special Education</v>
      </c>
      <c r="D6" s="2312"/>
      <c r="E6" s="2312"/>
      <c r="F6" s="1852"/>
    </row>
    <row r="7" spans="1:10" ht="11.25" customHeight="1" thickBot="1" x14ac:dyDescent="0.3">
      <c r="A7" s="1850"/>
      <c r="B7" s="1851"/>
      <c r="C7" s="2313">
        <f>COVER!A13</f>
        <v>32038801060</v>
      </c>
      <c r="D7" s="2313"/>
      <c r="E7" s="2313"/>
      <c r="F7" s="1852"/>
    </row>
    <row r="8" spans="1:10" ht="25.5" customHeight="1" thickBot="1" x14ac:dyDescent="0.25">
      <c r="A8" s="1893" t="s">
        <v>1905</v>
      </c>
      <c r="B8" s="1853" t="s">
        <v>2071</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1391</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L24" sqref="J23:L2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Iroquois Special Education</v>
      </c>
      <c r="J6" s="2322"/>
      <c r="Q6" s="1664"/>
    </row>
    <row r="7" spans="1:17" x14ac:dyDescent="0.2">
      <c r="A7" s="2323" t="s">
        <v>869</v>
      </c>
      <c r="B7" s="2324"/>
      <c r="C7" s="2324"/>
      <c r="D7" s="2324"/>
      <c r="E7" s="2325"/>
      <c r="F7" s="1017"/>
      <c r="G7" s="1009"/>
      <c r="H7" s="1016" t="s">
        <v>372</v>
      </c>
      <c r="I7" s="2326">
        <f>COVER!A13</f>
        <v>32038801060</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0</v>
      </c>
      <c r="F12" s="1039"/>
      <c r="G12" s="1811">
        <f t="shared" ref="G12:G18" si="0">SUM(E12:F12)</f>
        <v>0</v>
      </c>
      <c r="H12" s="1040"/>
      <c r="I12" s="1039"/>
      <c r="J12" s="1811">
        <f t="shared" ref="J12:J18" si="1">SUM(H12:I12)</f>
        <v>0</v>
      </c>
    </row>
    <row r="13" spans="1:17" ht="15" customHeight="1" x14ac:dyDescent="0.2">
      <c r="A13" s="1035">
        <v>2</v>
      </c>
      <c r="B13" s="1036" t="s">
        <v>42</v>
      </c>
      <c r="C13" s="1037"/>
      <c r="D13" s="1038">
        <v>2330</v>
      </c>
      <c r="E13" s="1811">
        <f>'Expenditures 15-22'!K51</f>
        <v>446817</v>
      </c>
      <c r="F13" s="1039"/>
      <c r="G13" s="1811">
        <f t="shared" si="0"/>
        <v>446817</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446817</v>
      </c>
      <c r="F19" s="1813">
        <f t="shared" si="2"/>
        <v>0</v>
      </c>
      <c r="G19" s="1813">
        <f t="shared" si="2"/>
        <v>446817</v>
      </c>
      <c r="H19" s="1813">
        <f t="shared" si="2"/>
        <v>0</v>
      </c>
      <c r="I19" s="1813">
        <f t="shared" si="2"/>
        <v>0</v>
      </c>
      <c r="J19" s="1813">
        <f t="shared" si="2"/>
        <v>0</v>
      </c>
    </row>
    <row r="20" spans="1:10" ht="13.5" thickTop="1" x14ac:dyDescent="0.2">
      <c r="A20" s="1035">
        <v>9</v>
      </c>
      <c r="B20" s="2333" t="s">
        <v>1977</v>
      </c>
      <c r="C20" s="2333"/>
      <c r="D20" s="2334"/>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1979</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3" t="s">
        <v>2084</v>
      </c>
    </row>
    <row r="6" spans="1:2" x14ac:dyDescent="0.2">
      <c r="A6" s="1068"/>
      <c r="B6" s="1942" t="s">
        <v>2086</v>
      </c>
    </row>
    <row r="7" spans="1:2" x14ac:dyDescent="0.2">
      <c r="A7" s="1068"/>
      <c r="B7" s="329" t="s">
        <v>2087</v>
      </c>
    </row>
    <row r="8" spans="1:2" x14ac:dyDescent="0.2">
      <c r="A8" s="1068"/>
    </row>
    <row r="9" spans="1:2" x14ac:dyDescent="0.2">
      <c r="A9" s="1069">
        <v>2</v>
      </c>
      <c r="B9" s="1943" t="s">
        <v>2088</v>
      </c>
    </row>
    <row r="10" spans="1:2" x14ac:dyDescent="0.2">
      <c r="A10" s="1069"/>
      <c r="B10" s="1942" t="s">
        <v>2085</v>
      </c>
    </row>
    <row r="11" spans="1:2" x14ac:dyDescent="0.2">
      <c r="A11" s="1069"/>
      <c r="B11" s="329" t="s">
        <v>2089</v>
      </c>
    </row>
    <row r="12" spans="1:2" x14ac:dyDescent="0.2">
      <c r="A12" s="1069"/>
      <c r="B12" s="1942" t="s">
        <v>2090</v>
      </c>
    </row>
    <row r="13" spans="1:2" x14ac:dyDescent="0.2">
      <c r="A13" s="1069"/>
      <c r="B13" s="329" t="s">
        <v>2091</v>
      </c>
    </row>
    <row r="14" spans="1:2" x14ac:dyDescent="0.2">
      <c r="A14" s="1069"/>
    </row>
    <row r="15" spans="1:2" x14ac:dyDescent="0.2">
      <c r="A15" s="1069">
        <v>3</v>
      </c>
      <c r="B15" s="1943" t="s">
        <v>2092</v>
      </c>
    </row>
    <row r="16" spans="1:2" x14ac:dyDescent="0.2">
      <c r="A16" s="1069"/>
      <c r="B16" s="329" t="s">
        <v>2093</v>
      </c>
    </row>
    <row r="17" spans="1:2" x14ac:dyDescent="0.2">
      <c r="A17" s="1069"/>
    </row>
    <row r="18" spans="1:2" x14ac:dyDescent="0.2">
      <c r="A18" s="1069">
        <v>4</v>
      </c>
      <c r="B18" s="1943" t="s">
        <v>2094</v>
      </c>
    </row>
    <row r="19" spans="1:2" x14ac:dyDescent="0.2">
      <c r="A19" s="1069"/>
      <c r="B19" s="1942" t="s">
        <v>2095</v>
      </c>
    </row>
    <row r="20" spans="1:2" x14ac:dyDescent="0.2">
      <c r="A20" s="1069"/>
      <c r="B20" s="329" t="s">
        <v>2096</v>
      </c>
    </row>
    <row r="21" spans="1:2" x14ac:dyDescent="0.2">
      <c r="A21" s="1069"/>
      <c r="B21" s="1942" t="s">
        <v>2097</v>
      </c>
    </row>
    <row r="22" spans="1:2" x14ac:dyDescent="0.2">
      <c r="A22" s="1069"/>
      <c r="B22" s="329" t="s">
        <v>2098</v>
      </c>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Iroquois Special Education</v>
      </c>
    </row>
    <row r="65" spans="2:2" x14ac:dyDescent="0.2">
      <c r="B65" s="1070">
        <f>COVER!A13</f>
        <v>32038801060</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1983</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1984</v>
      </c>
      <c r="B4" s="2361"/>
      <c r="C4" s="2361"/>
      <c r="D4" s="2361"/>
      <c r="E4" s="2361"/>
      <c r="F4" s="2362"/>
      <c r="G4" s="1074"/>
      <c r="H4" s="1074"/>
    </row>
    <row r="5" spans="1:8" ht="14.25" customHeight="1" x14ac:dyDescent="0.2">
      <c r="A5" s="2363" t="s">
        <v>1980</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5267896</v>
      </c>
      <c r="C8" s="1815">
        <f>'Acct Summary 7-8'!D8</f>
        <v>103654</v>
      </c>
      <c r="D8" s="1815">
        <f>'Acct Summary 7-8'!F8</f>
        <v>232034</v>
      </c>
      <c r="E8" s="1815">
        <f>'Acct Summary 7-8'!I8</f>
        <v>0</v>
      </c>
      <c r="F8" s="1815">
        <f>SUM(B8:E8)</f>
        <v>5603584</v>
      </c>
    </row>
    <row r="9" spans="1:8" s="1079" customFormat="1" ht="14.25" customHeight="1" thickBot="1" x14ac:dyDescent="0.25">
      <c r="A9" s="1078" t="s">
        <v>1369</v>
      </c>
      <c r="B9" s="1816">
        <f>'Acct Summary 7-8'!C17</f>
        <v>5169822</v>
      </c>
      <c r="C9" s="1816">
        <f>'Acct Summary 7-8'!D17</f>
        <v>366858</v>
      </c>
      <c r="D9" s="1816">
        <f>'Acct Summary 7-8'!F17</f>
        <v>526706</v>
      </c>
      <c r="E9" s="1815"/>
      <c r="F9" s="1815">
        <f>SUM(B9:E9)</f>
        <v>6063386</v>
      </c>
    </row>
    <row r="10" spans="1:8" s="1079" customFormat="1" ht="14.25" thickTop="1" thickBot="1" x14ac:dyDescent="0.25">
      <c r="A10" s="1080" t="s">
        <v>1370</v>
      </c>
      <c r="B10" s="1817">
        <f>(B8-B9)</f>
        <v>98074</v>
      </c>
      <c r="C10" s="1817">
        <f>(C8-C9)</f>
        <v>-263204</v>
      </c>
      <c r="D10" s="1817">
        <f>(D8-D9)</f>
        <v>-294672</v>
      </c>
      <c r="E10" s="1816">
        <f>(E8-E9)</f>
        <v>0</v>
      </c>
      <c r="F10" s="1818">
        <f>SUM(F8-F9)</f>
        <v>-459802</v>
      </c>
    </row>
    <row r="11" spans="1:8" s="1079" customFormat="1" ht="14.25" thickTop="1" thickBot="1" x14ac:dyDescent="0.25">
      <c r="A11" s="1081" t="s">
        <v>1981</v>
      </c>
      <c r="B11" s="1819">
        <f>'Acct Summary 7-8'!C81</f>
        <v>889450</v>
      </c>
      <c r="C11" s="1819">
        <f>'Acct Summary 7-8'!D81</f>
        <v>15356</v>
      </c>
      <c r="D11" s="1819">
        <f>'Acct Summary 7-8'!F81</f>
        <v>202100</v>
      </c>
      <c r="E11" s="1819">
        <f>'Acct Summary 7-8'!I81</f>
        <v>0</v>
      </c>
      <c r="F11" s="1820">
        <f>SUM(B11:E11)</f>
        <v>1106906</v>
      </c>
    </row>
    <row r="12" spans="1:8" ht="16.5" customHeight="1" thickTop="1" x14ac:dyDescent="0.2">
      <c r="A12" s="1082"/>
      <c r="B12" s="1083"/>
      <c r="C12" s="2345"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ERROR!</v>
      </c>
    </row>
    <row r="69" spans="1:4" x14ac:dyDescent="0.2">
      <c r="A69" s="1100"/>
      <c r="B69" s="1110"/>
      <c r="C69" s="1102" t="s">
        <v>1913</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32038801060</v>
      </c>
    </row>
    <row r="3" spans="1:2" x14ac:dyDescent="0.2">
      <c r="A3" t="s">
        <v>956</v>
      </c>
      <c r="B3" s="138" t="str">
        <f>COVER!A15</f>
        <v>IROQUOIS</v>
      </c>
    </row>
    <row r="4" spans="1:2" x14ac:dyDescent="0.2">
      <c r="A4" t="s">
        <v>1007</v>
      </c>
      <c r="B4" s="138" t="str">
        <f>COVER!A17</f>
        <v>Iroquois Special Education</v>
      </c>
    </row>
    <row r="5" spans="1:2" x14ac:dyDescent="0.2">
      <c r="A5" t="s">
        <v>704</v>
      </c>
      <c r="B5" s="138" t="str">
        <f>COVER!A38</f>
        <v>Nicole Bullington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535752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890144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694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694</v>
      </c>
      <c r="C91" s="2" t="s">
        <v>573</v>
      </c>
      <c r="D91" s="2" t="str">
        <f t="shared" si="0"/>
        <v>Error?</v>
      </c>
    </row>
    <row r="92" spans="1:4" x14ac:dyDescent="0.2">
      <c r="A92" s="5">
        <v>31</v>
      </c>
      <c r="B92" s="138">
        <f>'Assets-Liab 5-6'!C39</f>
        <v>889450</v>
      </c>
      <c r="D92" s="2" t="str">
        <f t="shared" si="0"/>
        <v>Error?</v>
      </c>
    </row>
    <row r="93" spans="1:4" x14ac:dyDescent="0.2">
      <c r="A93" s="5">
        <v>32</v>
      </c>
      <c r="B93" s="138">
        <f>'Assets-Liab 5-6'!C41</f>
        <v>890144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15356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15356</v>
      </c>
      <c r="D123" s="2" t="str">
        <f t="shared" si="0"/>
        <v>Error?</v>
      </c>
    </row>
    <row r="124" spans="1:4" x14ac:dyDescent="0.2">
      <c r="A124" s="5">
        <v>63</v>
      </c>
      <c r="B124" s="138">
        <f>'Assets-Liab 5-6'!D41</f>
        <v>15356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202100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202100</v>
      </c>
      <c r="D170" s="2" t="str">
        <f t="shared" si="1"/>
        <v>Error?</v>
      </c>
    </row>
    <row r="171" spans="1:4" x14ac:dyDescent="0.2">
      <c r="A171" s="5">
        <v>110</v>
      </c>
      <c r="B171" s="138">
        <f>'Assets-Liab 5-6'!F41</f>
        <v>202100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473175</v>
      </c>
      <c r="D274" s="2" t="str">
        <f t="shared" si="3"/>
        <v>Error?</v>
      </c>
    </row>
    <row r="275" spans="1:4" x14ac:dyDescent="0.2">
      <c r="A275" s="5">
        <v>214</v>
      </c>
      <c r="B275" s="138">
        <f>'Assets-Liab 5-6'!M18</f>
        <v>144748</v>
      </c>
      <c r="D275" s="2" t="str">
        <f t="shared" si="3"/>
        <v>Error?</v>
      </c>
    </row>
    <row r="276" spans="1:4" x14ac:dyDescent="0.2">
      <c r="A276" s="5">
        <v>215</v>
      </c>
      <c r="B276" s="138">
        <f>'Assets-Liab 5-6'!M19</f>
        <v>1699302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2317225</v>
      </c>
      <c r="C279" s="2" t="s">
        <v>573</v>
      </c>
      <c r="D279" s="2" t="str">
        <f t="shared" si="3"/>
        <v>Error?</v>
      </c>
    </row>
    <row r="280" spans="1:4" x14ac:dyDescent="0.2">
      <c r="A280" s="5">
        <v>219</v>
      </c>
      <c r="B280" s="138">
        <f>'Assets-Liab 5-6'!M40</f>
        <v>2317225</v>
      </c>
      <c r="D280" s="2" t="str">
        <f t="shared" si="3"/>
        <v>Error?</v>
      </c>
    </row>
    <row r="281" spans="1:4" x14ac:dyDescent="0.2">
      <c r="A281" s="5">
        <v>220</v>
      </c>
      <c r="B281" s="138">
        <f>'Assets-Liab 5-6'!M41</f>
        <v>2317225</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236400</v>
      </c>
      <c r="D283" s="2" t="str">
        <f t="shared" si="3"/>
        <v>Error?</v>
      </c>
    </row>
    <row r="284" spans="1:4" x14ac:dyDescent="0.2">
      <c r="A284" s="5">
        <v>223</v>
      </c>
      <c r="B284" s="138">
        <f>'Assets-Liab 5-6'!N23</f>
        <v>236400</v>
      </c>
      <c r="C284" s="2" t="s">
        <v>573</v>
      </c>
      <c r="D284" s="2" t="str">
        <f t="shared" si="3"/>
        <v>Error?</v>
      </c>
    </row>
    <row r="285" spans="1:4" x14ac:dyDescent="0.2">
      <c r="A285" s="5">
        <v>224</v>
      </c>
      <c r="B285" s="138">
        <f>'Assets-Liab 5-6'!N36</f>
        <v>236400</v>
      </c>
      <c r="D285" s="2" t="str">
        <f t="shared" si="3"/>
        <v>Error?</v>
      </c>
    </row>
    <row r="286" spans="1:4" x14ac:dyDescent="0.2">
      <c r="A286" s="10">
        <v>225</v>
      </c>
      <c r="D286" s="2" t="str">
        <f t="shared" si="3"/>
        <v>OK</v>
      </c>
    </row>
    <row r="287" spans="1:4" x14ac:dyDescent="0.2">
      <c r="A287" s="5">
        <v>226</v>
      </c>
      <c r="B287" s="138">
        <f>'Assets-Liab 5-6'!N37</f>
        <v>236400</v>
      </c>
      <c r="C287" s="2" t="s">
        <v>573</v>
      </c>
      <c r="D287" s="2" t="str">
        <f t="shared" si="3"/>
        <v>Error?</v>
      </c>
    </row>
    <row r="288" spans="1:4" x14ac:dyDescent="0.2">
      <c r="A288" s="5">
        <v>227</v>
      </c>
      <c r="B288" s="138">
        <f>'Assets-Liab 5-6'!N41</f>
        <v>236400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10117</v>
      </c>
      <c r="D719" s="2" t="str">
        <f t="shared" si="10"/>
        <v>Error?</v>
      </c>
    </row>
    <row r="720" spans="1:4" x14ac:dyDescent="0.2">
      <c r="A720" s="5">
        <v>659</v>
      </c>
      <c r="B720" s="138">
        <f>'Expenditures 15-22'!C33</f>
        <v>2609966</v>
      </c>
      <c r="C720" s="2" t="s">
        <v>573</v>
      </c>
      <c r="D720" s="2" t="str">
        <f t="shared" si="10"/>
        <v>Error?</v>
      </c>
    </row>
    <row r="721" spans="1:4" x14ac:dyDescent="0.2">
      <c r="A721" s="5">
        <v>660</v>
      </c>
      <c r="B721" s="138">
        <f>'Expenditures 15-22'!C36</f>
        <v>204106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163669</v>
      </c>
      <c r="D723" s="2" t="str">
        <f t="shared" si="10"/>
        <v>Error?</v>
      </c>
    </row>
    <row r="724" spans="1:4" x14ac:dyDescent="0.2">
      <c r="A724" s="5">
        <v>663</v>
      </c>
      <c r="B724" s="138">
        <f>'Expenditures 15-22'!C39</f>
        <v>108911</v>
      </c>
      <c r="D724" s="2" t="str">
        <f t="shared" si="10"/>
        <v>Error?</v>
      </c>
    </row>
    <row r="725" spans="1:4" x14ac:dyDescent="0.2">
      <c r="A725" s="5">
        <v>664</v>
      </c>
      <c r="B725" s="138">
        <f>'Expenditures 15-22'!C40</f>
        <v>145285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621971</v>
      </c>
      <c r="C727" s="2" t="s">
        <v>573</v>
      </c>
      <c r="D727" s="2" t="str">
        <f t="shared" si="10"/>
        <v>Error?</v>
      </c>
    </row>
    <row r="728" spans="1:4" x14ac:dyDescent="0.2">
      <c r="A728" s="5">
        <v>667</v>
      </c>
      <c r="B728" s="138">
        <f>'Expenditures 15-22'!C44</f>
        <v>32864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32864</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189119</v>
      </c>
      <c r="C734" s="2" t="s">
        <v>573</v>
      </c>
      <c r="D734" s="2" t="str">
        <f t="shared" si="10"/>
        <v>Error?</v>
      </c>
    </row>
    <row r="735" spans="1:4" x14ac:dyDescent="0.2">
      <c r="A735" s="5">
        <v>674</v>
      </c>
      <c r="B735" s="138">
        <f>'Expenditures 15-22'!C55</f>
        <v>106128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106128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38125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10231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48356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998438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3608404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1491</v>
      </c>
      <c r="D777" s="2" t="str">
        <f t="shared" si="11"/>
        <v>Error?</v>
      </c>
    </row>
    <row r="778" spans="1:4" x14ac:dyDescent="0.2">
      <c r="A778" s="5">
        <v>717</v>
      </c>
      <c r="B778" s="138">
        <f>'Expenditures 15-22'!D33</f>
        <v>728183</v>
      </c>
      <c r="C778" s="2" t="s">
        <v>573</v>
      </c>
      <c r="D778" s="2" t="str">
        <f t="shared" si="11"/>
        <v>Error?</v>
      </c>
    </row>
    <row r="779" spans="1:4" x14ac:dyDescent="0.2">
      <c r="A779" s="5">
        <v>718</v>
      </c>
      <c r="B779" s="138">
        <f>'Expenditures 15-22'!D36</f>
        <v>68631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48497</v>
      </c>
      <c r="D781" s="2" t="str">
        <f t="shared" si="11"/>
        <v>Error?</v>
      </c>
    </row>
    <row r="782" spans="1:4" x14ac:dyDescent="0.2">
      <c r="A782" s="5">
        <v>721</v>
      </c>
      <c r="B782" s="138">
        <f>'Expenditures 15-22'!D39</f>
        <v>25069</v>
      </c>
      <c r="D782" s="2" t="str">
        <f t="shared" si="11"/>
        <v>Error?</v>
      </c>
    </row>
    <row r="783" spans="1:4" x14ac:dyDescent="0.2">
      <c r="A783" s="5">
        <v>722</v>
      </c>
      <c r="B783" s="138">
        <f>'Expenditures 15-22'!D40</f>
        <v>29279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171476</v>
      </c>
      <c r="C785" s="2" t="s">
        <v>573</v>
      </c>
      <c r="D785" s="2" t="str">
        <f t="shared" si="11"/>
        <v>Error?</v>
      </c>
    </row>
    <row r="786" spans="1:4" x14ac:dyDescent="0.2">
      <c r="A786" s="5">
        <v>725</v>
      </c>
      <c r="B786" s="138">
        <f>'Expenditures 15-22'!D44</f>
        <v>3492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3492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51930</v>
      </c>
      <c r="C792" s="2" t="s">
        <v>573</v>
      </c>
      <c r="D792" s="2" t="str">
        <f t="shared" si="11"/>
        <v>Error?</v>
      </c>
    </row>
    <row r="793" spans="1:4" x14ac:dyDescent="0.2">
      <c r="A793" s="5">
        <v>732</v>
      </c>
      <c r="B793" s="138">
        <f>'Expenditures 15-22'!D55</f>
        <v>34231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34231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12311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937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13248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274377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1002560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50495</v>
      </c>
      <c r="C836" s="2" t="s">
        <v>573</v>
      </c>
      <c r="D836" s="2" t="str">
        <f t="shared" si="12"/>
        <v>Error?</v>
      </c>
    </row>
    <row r="837" spans="1:4" x14ac:dyDescent="0.2">
      <c r="A837" s="5">
        <v>776</v>
      </c>
      <c r="B837" s="138">
        <f>'Expenditures 15-22'!E36</f>
        <v>3296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12707</v>
      </c>
      <c r="D839" s="2" t="str">
        <f t="shared" si="12"/>
        <v>Error?</v>
      </c>
    </row>
    <row r="840" spans="1:4" x14ac:dyDescent="0.2">
      <c r="A840" s="5">
        <v>779</v>
      </c>
      <c r="B840" s="138">
        <f>'Expenditures 15-22'!E39</f>
        <v>5173</v>
      </c>
      <c r="D840" s="2" t="str">
        <f t="shared" si="12"/>
        <v>Error?</v>
      </c>
    </row>
    <row r="841" spans="1:4" x14ac:dyDescent="0.2">
      <c r="A841" s="5">
        <v>780</v>
      </c>
      <c r="B841" s="138">
        <f>'Expenditures 15-22'!E40</f>
        <v>31787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52963</v>
      </c>
      <c r="C843" s="2" t="s">
        <v>573</v>
      </c>
      <c r="D843" s="2" t="str">
        <f t="shared" si="12"/>
        <v>Error?</v>
      </c>
    </row>
    <row r="844" spans="1:4" x14ac:dyDescent="0.2">
      <c r="A844" s="5">
        <v>783</v>
      </c>
      <c r="B844" s="138">
        <f>'Expenditures 15-22'!E44</f>
        <v>22443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22443</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179400</v>
      </c>
      <c r="C850" s="2" t="s">
        <v>573</v>
      </c>
      <c r="D850" s="2" t="str">
        <f t="shared" si="12"/>
        <v>Error?</v>
      </c>
    </row>
    <row r="851" spans="1:4" x14ac:dyDescent="0.2">
      <c r="A851" s="5">
        <v>790</v>
      </c>
      <c r="B851" s="138">
        <f>'Expenditures 15-22'!E55</f>
        <v>636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636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255628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306123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16548</v>
      </c>
      <c r="C894" s="2" t="s">
        <v>573</v>
      </c>
      <c r="D894" s="2" t="str">
        <f t="shared" si="12"/>
        <v>Error?</v>
      </c>
    </row>
    <row r="895" spans="1:4" x14ac:dyDescent="0.2">
      <c r="A895" s="5">
        <v>834</v>
      </c>
      <c r="B895" s="138">
        <f>'Expenditures 15-22'!F36</f>
        <v>726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2431</v>
      </c>
      <c r="D897" s="2" t="str">
        <f t="shared" si="13"/>
        <v>Error?</v>
      </c>
    </row>
    <row r="898" spans="1:4" x14ac:dyDescent="0.2">
      <c r="A898" s="5">
        <v>837</v>
      </c>
      <c r="B898" s="138">
        <f>'Expenditures 15-22'!F39</f>
        <v>2159</v>
      </c>
      <c r="D898" s="2" t="str">
        <f t="shared" si="13"/>
        <v>Error?</v>
      </c>
    </row>
    <row r="899" spans="1:4" x14ac:dyDescent="0.2">
      <c r="A899" s="5">
        <v>838</v>
      </c>
      <c r="B899" s="138">
        <f>'Expenditures 15-22'!F40</f>
        <v>1437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6753</v>
      </c>
      <c r="C901" s="2" t="s">
        <v>573</v>
      </c>
      <c r="D901" s="2" t="str">
        <f t="shared" si="13"/>
        <v>Error?</v>
      </c>
    </row>
    <row r="902" spans="1:4" x14ac:dyDescent="0.2">
      <c r="A902" s="5">
        <v>841</v>
      </c>
      <c r="B902" s="138">
        <f>'Expenditures 15-22'!F44</f>
        <v>10337</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10337</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21280</v>
      </c>
      <c r="C908" s="2" t="s">
        <v>573</v>
      </c>
      <c r="D908" s="2" t="str">
        <f t="shared" si="13"/>
        <v>Error?</v>
      </c>
    </row>
    <row r="909" spans="1:4" x14ac:dyDescent="0.2">
      <c r="A909" s="5">
        <v>848</v>
      </c>
      <c r="B909" s="138">
        <f>'Expenditures 15-22'!F55</f>
        <v>3458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3458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10700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10700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52528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69076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5088</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5088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5088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178571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178571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11608</v>
      </c>
      <c r="C1107" s="2" t="s">
        <v>573</v>
      </c>
      <c r="D1107" s="2" t="str">
        <f t="shared" si="16"/>
        <v>Error?</v>
      </c>
    </row>
    <row r="1108" spans="1:4" x14ac:dyDescent="0.2">
      <c r="A1108" s="5">
        <v>1047</v>
      </c>
      <c r="B1108" s="138">
        <f>'Expenditures 15-22'!K33</f>
        <v>3583763</v>
      </c>
      <c r="C1108" s="2" t="s">
        <v>573</v>
      </c>
      <c r="D1108" s="2" t="str">
        <f t="shared" si="16"/>
        <v>Error?</v>
      </c>
    </row>
    <row r="1109" spans="1:4" x14ac:dyDescent="0.2">
      <c r="A1109" s="5">
        <v>1048</v>
      </c>
      <c r="B1109" s="138">
        <f>'Expenditures 15-22'!K36</f>
        <v>276759</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227304</v>
      </c>
      <c r="C1111" s="2" t="s">
        <v>573</v>
      </c>
      <c r="D1111" s="2" t="str">
        <f t="shared" si="16"/>
        <v>Error?</v>
      </c>
    </row>
    <row r="1112" spans="1:4" x14ac:dyDescent="0.2">
      <c r="A1112" s="5">
        <v>1051</v>
      </c>
      <c r="B1112" s="138">
        <f>'Expenditures 15-22'!K39</f>
        <v>141312</v>
      </c>
      <c r="C1112" s="2" t="s">
        <v>573</v>
      </c>
      <c r="D1112" s="2" t="str">
        <f t="shared" si="16"/>
        <v>Error?</v>
      </c>
    </row>
    <row r="1113" spans="1:4" x14ac:dyDescent="0.2">
      <c r="A1113" s="5">
        <v>1052</v>
      </c>
      <c r="B1113" s="138">
        <f>'Expenditures 15-22'!K40</f>
        <v>207788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853163</v>
      </c>
      <c r="C1115" s="2" t="s">
        <v>573</v>
      </c>
      <c r="D1115" s="2" t="str">
        <f t="shared" si="16"/>
        <v>Error?</v>
      </c>
    </row>
    <row r="1116" spans="1:4" x14ac:dyDescent="0.2">
      <c r="A1116" s="5">
        <v>1055</v>
      </c>
      <c r="B1116" s="138">
        <f>'Expenditures 15-22'!K44</f>
        <v>69136</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69136</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446817</v>
      </c>
      <c r="C1122" s="2" t="s">
        <v>573</v>
      </c>
      <c r="D1122" s="2" t="str">
        <f t="shared" si="16"/>
        <v>Error?</v>
      </c>
    </row>
    <row r="1123" spans="1:4" x14ac:dyDescent="0.2">
      <c r="A1123" s="5">
        <v>1062</v>
      </c>
      <c r="B1123" s="138">
        <f>'Expenditures 15-22'!K55</f>
        <v>144453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144453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50546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21944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72490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1586059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5169822</v>
      </c>
      <c r="C1152" s="2" t="s">
        <v>573</v>
      </c>
      <c r="D1152" s="2" t="str">
        <f t="shared" si="17"/>
        <v>Error?</v>
      </c>
    </row>
    <row r="1153" spans="1:4" x14ac:dyDescent="0.2">
      <c r="A1153" s="5">
        <v>1092</v>
      </c>
      <c r="B1153" s="138">
        <f>'Expenditures 15-22'!K115</f>
        <v>98074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7883</v>
      </c>
      <c r="D1221" s="2" t="str">
        <f t="shared" si="18"/>
        <v>Error?</v>
      </c>
    </row>
    <row r="1222" spans="1:4" x14ac:dyDescent="0.2">
      <c r="A1222" s="10">
        <v>1161</v>
      </c>
      <c r="D1222" s="2" t="str">
        <f t="shared" si="18"/>
        <v>OK</v>
      </c>
    </row>
    <row r="1223" spans="1:4" x14ac:dyDescent="0.2">
      <c r="A1223" s="5">
        <v>1162</v>
      </c>
      <c r="B1223" s="138">
        <f>'Expenditures 15-22'!C127</f>
        <v>7883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7883</v>
      </c>
      <c r="C1225" s="2" t="s">
        <v>573</v>
      </c>
      <c r="D1225" s="2" t="str">
        <f t="shared" si="18"/>
        <v>Error?</v>
      </c>
    </row>
    <row r="1226" spans="1:4" x14ac:dyDescent="0.2">
      <c r="A1226" s="5">
        <v>1165</v>
      </c>
      <c r="B1226" s="138">
        <f>'Expenditures 15-22'!C151</f>
        <v>7883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874</v>
      </c>
      <c r="D1229" s="2" t="str">
        <f t="shared" si="18"/>
        <v>Error?</v>
      </c>
    </row>
    <row r="1230" spans="1:4" x14ac:dyDescent="0.2">
      <c r="A1230" s="10">
        <v>1169</v>
      </c>
      <c r="D1230" s="2" t="str">
        <f t="shared" si="18"/>
        <v>OK</v>
      </c>
    </row>
    <row r="1231" spans="1:4" x14ac:dyDescent="0.2">
      <c r="A1231" s="5">
        <v>1170</v>
      </c>
      <c r="B1231" s="138">
        <f>'Expenditures 15-22'!D127</f>
        <v>874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874</v>
      </c>
      <c r="C1233" s="2" t="s">
        <v>573</v>
      </c>
      <c r="D1233" s="2" t="str">
        <f t="shared" si="18"/>
        <v>Error?</v>
      </c>
    </row>
    <row r="1234" spans="1:4" x14ac:dyDescent="0.2">
      <c r="A1234" s="5">
        <v>1173</v>
      </c>
      <c r="B1234" s="138">
        <f>'Expenditures 15-22'!D151</f>
        <v>874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63983</v>
      </c>
      <c r="D1237" s="2" t="str">
        <f t="shared" si="18"/>
        <v>Error?</v>
      </c>
    </row>
    <row r="1238" spans="1:4" x14ac:dyDescent="0.2">
      <c r="A1238" s="10">
        <v>1177</v>
      </c>
      <c r="D1238" s="2" t="str">
        <f t="shared" si="18"/>
        <v>OK</v>
      </c>
    </row>
    <row r="1239" spans="1:4" x14ac:dyDescent="0.2">
      <c r="A1239" s="5">
        <v>1178</v>
      </c>
      <c r="B1239" s="138">
        <f>'Expenditures 15-22'!E127</f>
        <v>63983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63983</v>
      </c>
      <c r="C1241" s="2" t="s">
        <v>573</v>
      </c>
      <c r="D1241" s="2" t="str">
        <f t="shared" si="18"/>
        <v>Error?</v>
      </c>
    </row>
    <row r="1242" spans="1:4" x14ac:dyDescent="0.2">
      <c r="A1242" s="5">
        <v>1181</v>
      </c>
      <c r="B1242" s="138">
        <f>'Expenditures 15-22'!E151</f>
        <v>78983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37718</v>
      </c>
      <c r="D1245" s="2" t="str">
        <f t="shared" si="18"/>
        <v>Error?</v>
      </c>
    </row>
    <row r="1246" spans="1:4" x14ac:dyDescent="0.2">
      <c r="A1246" s="10">
        <v>1185</v>
      </c>
      <c r="D1246" s="2" t="str">
        <f t="shared" si="18"/>
        <v>OK</v>
      </c>
    </row>
    <row r="1247" spans="1:4" x14ac:dyDescent="0.2">
      <c r="A1247" s="5">
        <v>1186</v>
      </c>
      <c r="B1247" s="138">
        <f>'Expenditures 15-22'!F127</f>
        <v>37718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37718</v>
      </c>
      <c r="C1249" s="2" t="s">
        <v>573</v>
      </c>
      <c r="D1249" s="2" t="str">
        <f t="shared" si="18"/>
        <v>Error?</v>
      </c>
    </row>
    <row r="1250" spans="1:4" x14ac:dyDescent="0.2">
      <c r="A1250" s="5">
        <v>1189</v>
      </c>
      <c r="B1250" s="138">
        <f>'Expenditures 15-22'!F151</f>
        <v>37718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241400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241400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241400</v>
      </c>
      <c r="C1258" s="2" t="s">
        <v>573</v>
      </c>
      <c r="D1258" s="2" t="str">
        <f t="shared" si="18"/>
        <v>Error?</v>
      </c>
    </row>
    <row r="1259" spans="1:4" x14ac:dyDescent="0.2">
      <c r="A1259" s="5">
        <v>1198</v>
      </c>
      <c r="B1259" s="138">
        <f>'Expenditures 15-22'!G151</f>
        <v>241400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351858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351858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351858</v>
      </c>
      <c r="C1281" s="2" t="s">
        <v>573</v>
      </c>
      <c r="D1281" s="2" t="str">
        <f t="shared" si="19"/>
        <v>Error?</v>
      </c>
    </row>
    <row r="1282" spans="1:4" x14ac:dyDescent="0.2">
      <c r="A1282" s="5">
        <v>1221</v>
      </c>
      <c r="B1282" s="138">
        <f>'Expenditures 15-22'!K139</f>
        <v>15000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366858</v>
      </c>
      <c r="C1288" s="2" t="s">
        <v>573</v>
      </c>
      <c r="D1288" s="2" t="str">
        <f t="shared" si="19"/>
        <v>Error?</v>
      </c>
    </row>
    <row r="1289" spans="1:4" x14ac:dyDescent="0.2">
      <c r="A1289" s="5">
        <v>1228</v>
      </c>
      <c r="B1289" s="138">
        <f>'Expenditures 15-22'!K152</f>
        <v>-263204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246226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246226</v>
      </c>
      <c r="C1339" s="2" t="s">
        <v>573</v>
      </c>
      <c r="D1339" s="2" t="str">
        <f t="shared" si="19"/>
        <v>Error?</v>
      </c>
    </row>
    <row r="1340" spans="1:4" x14ac:dyDescent="0.2">
      <c r="A1340" s="5">
        <v>1279</v>
      </c>
      <c r="B1340" s="138">
        <f>'Expenditures 15-22'!C210</f>
        <v>246226</v>
      </c>
      <c r="C1340" s="2" t="s">
        <v>573</v>
      </c>
      <c r="D1340" s="2" t="str">
        <f t="shared" si="19"/>
        <v>Error?</v>
      </c>
    </row>
    <row r="1341" spans="1:4" x14ac:dyDescent="0.2">
      <c r="A1341" s="5">
        <v>1280</v>
      </c>
      <c r="B1341" s="138">
        <f>'Expenditures 15-22'!D182</f>
        <v>68799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68799</v>
      </c>
      <c r="C1345" s="2" t="s">
        <v>573</v>
      </c>
      <c r="D1345" s="2" t="str">
        <f t="shared" si="20"/>
        <v>Error?</v>
      </c>
    </row>
    <row r="1346" spans="1:4" x14ac:dyDescent="0.2">
      <c r="A1346" s="5">
        <v>1285</v>
      </c>
      <c r="B1346" s="138">
        <f>'Expenditures 15-22'!D210</f>
        <v>68799</v>
      </c>
      <c r="C1346" s="2" t="s">
        <v>573</v>
      </c>
      <c r="D1346" s="2" t="str">
        <f t="shared" si="20"/>
        <v>Error?</v>
      </c>
    </row>
    <row r="1347" spans="1:4" x14ac:dyDescent="0.2">
      <c r="A1347" s="5">
        <v>1286</v>
      </c>
      <c r="B1347" s="138">
        <f>'Expenditures 15-22'!E182</f>
        <v>63534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63534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63534</v>
      </c>
      <c r="C1353" s="2" t="s">
        <v>573</v>
      </c>
      <c r="D1353" s="2" t="str">
        <f t="shared" si="20"/>
        <v>Error?</v>
      </c>
    </row>
    <row r="1354" spans="1:4" x14ac:dyDescent="0.2">
      <c r="A1354" s="5">
        <v>1293</v>
      </c>
      <c r="B1354" s="138">
        <f>'Expenditures 15-22'!F182</f>
        <v>118147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118147</v>
      </c>
      <c r="C1358" s="2" t="s">
        <v>573</v>
      </c>
      <c r="D1358" s="2" t="str">
        <f t="shared" si="20"/>
        <v>Error?</v>
      </c>
    </row>
    <row r="1359" spans="1:4" x14ac:dyDescent="0.2">
      <c r="A1359" s="5">
        <v>1298</v>
      </c>
      <c r="B1359" s="138">
        <f>'Expenditures 15-22'!F210</f>
        <v>118147</v>
      </c>
      <c r="C1359" s="2" t="s">
        <v>573</v>
      </c>
      <c r="D1359" s="2" t="str">
        <f t="shared" si="20"/>
        <v>Error?</v>
      </c>
    </row>
    <row r="1360" spans="1:4" x14ac:dyDescent="0.2">
      <c r="A1360" s="5">
        <v>1299</v>
      </c>
      <c r="B1360" s="138">
        <f>'Expenditures 15-22'!G182</f>
        <v>30000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30000</v>
      </c>
      <c r="C1364" s="2" t="s">
        <v>573</v>
      </c>
      <c r="D1364" s="2" t="str">
        <f t="shared" si="20"/>
        <v>Error?</v>
      </c>
    </row>
    <row r="1365" spans="1:4" x14ac:dyDescent="0.2">
      <c r="A1365" s="5">
        <v>1304</v>
      </c>
      <c r="B1365" s="138">
        <f>'Expenditures 15-22'!G210</f>
        <v>30000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526706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526706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526706</v>
      </c>
      <c r="C1388" s="2" t="s">
        <v>573</v>
      </c>
      <c r="D1388" s="2" t="str">
        <f t="shared" si="20"/>
        <v>Error?</v>
      </c>
    </row>
    <row r="1389" spans="1:4" x14ac:dyDescent="0.2">
      <c r="A1389" s="5">
        <v>1328</v>
      </c>
      <c r="B1389" s="138">
        <f>'Expenditures 15-22'!K211</f>
        <v>-294672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791376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889450</v>
      </c>
      <c r="C1630" s="2" t="s">
        <v>573</v>
      </c>
      <c r="D1630" s="2" t="str">
        <f t="shared" si="24"/>
        <v>Error?</v>
      </c>
    </row>
    <row r="1631" spans="1:4" x14ac:dyDescent="0.2">
      <c r="A1631" s="5">
        <v>1570</v>
      </c>
      <c r="B1631" s="138">
        <f>'Acct Summary 7-8'!D79</f>
        <v>42160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15356</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496772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202100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236400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231775</v>
      </c>
      <c r="D2009" s="2" t="str">
        <f t="shared" si="30"/>
        <v>Error?</v>
      </c>
    </row>
    <row r="2010" spans="1:4" x14ac:dyDescent="0.2">
      <c r="A2010" s="5">
        <v>1949</v>
      </c>
      <c r="B2010" s="138">
        <f>'Cap Outlay Deprec 26'!C10</f>
        <v>144748</v>
      </c>
      <c r="D2010" s="2" t="str">
        <f t="shared" si="30"/>
        <v>Error?</v>
      </c>
    </row>
    <row r="2011" spans="1:4" x14ac:dyDescent="0.2">
      <c r="A2011" s="5">
        <v>1950</v>
      </c>
      <c r="B2011" s="138">
        <f>'Cap Outlay Deprec 26'!C12</f>
        <v>1200769</v>
      </c>
      <c r="D2011" s="2" t="str">
        <f t="shared" si="30"/>
        <v>Error?</v>
      </c>
    </row>
    <row r="2012" spans="1:4" x14ac:dyDescent="0.2">
      <c r="A2012" s="5">
        <v>1951</v>
      </c>
      <c r="B2012" s="138">
        <f>'Cap Outlay Deprec 26'!C13</f>
        <v>463445</v>
      </c>
      <c r="D2012" s="2" t="str">
        <f t="shared" si="30"/>
        <v>Error?</v>
      </c>
    </row>
    <row r="2013" spans="1:4" x14ac:dyDescent="0.2">
      <c r="A2013" s="5">
        <v>1952</v>
      </c>
      <c r="B2013" s="138">
        <f>'Cap Outlay Deprec 26'!C16</f>
        <v>2040737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241400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5088</v>
      </c>
      <c r="D2017" s="2" t="str">
        <f t="shared" si="30"/>
        <v>Error?</v>
      </c>
    </row>
    <row r="2018" spans="1:4" x14ac:dyDescent="0.2">
      <c r="A2018" s="5">
        <v>1957</v>
      </c>
      <c r="B2018" s="138">
        <f>'Cap Outlay Deprec 26'!D13</f>
        <v>30000</v>
      </c>
      <c r="D2018" s="2" t="str">
        <f t="shared" si="30"/>
        <v>Error?</v>
      </c>
    </row>
    <row r="2019" spans="1:4" x14ac:dyDescent="0.2">
      <c r="A2019" s="5">
        <v>1958</v>
      </c>
      <c r="B2019" s="138">
        <f>'Cap Outlay Deprec 26'!D16</f>
        <v>276488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473175</v>
      </c>
      <c r="C2027" s="2" t="s">
        <v>573</v>
      </c>
      <c r="D2027" s="2" t="str">
        <f t="shared" si="30"/>
        <v>Error?</v>
      </c>
    </row>
    <row r="2028" spans="1:4" x14ac:dyDescent="0.2">
      <c r="A2028" s="5">
        <v>1967</v>
      </c>
      <c r="B2028" s="138">
        <f>'Cap Outlay Deprec 26'!F10</f>
        <v>144748</v>
      </c>
      <c r="C2028" s="2" t="s">
        <v>573</v>
      </c>
      <c r="D2028" s="2" t="str">
        <f t="shared" si="30"/>
        <v>Error?</v>
      </c>
    </row>
    <row r="2029" spans="1:4" x14ac:dyDescent="0.2">
      <c r="A2029" s="5">
        <v>1968</v>
      </c>
      <c r="B2029" s="138">
        <f>'Cap Outlay Deprec 26'!F12</f>
        <v>1205857</v>
      </c>
      <c r="C2029" s="2" t="s">
        <v>573</v>
      </c>
      <c r="D2029" s="2" t="str">
        <f t="shared" si="30"/>
        <v>Error?</v>
      </c>
    </row>
    <row r="2030" spans="1:4" x14ac:dyDescent="0.2">
      <c r="A2030" s="5">
        <v>1969</v>
      </c>
      <c r="B2030" s="138">
        <f>'Cap Outlay Deprec 26'!F13</f>
        <v>493445</v>
      </c>
      <c r="C2030" s="2" t="s">
        <v>573</v>
      </c>
      <c r="D2030" s="2" t="str">
        <f t="shared" si="30"/>
        <v>Error?</v>
      </c>
    </row>
    <row r="2031" spans="1:4" x14ac:dyDescent="0.2">
      <c r="A2031" s="5">
        <v>1970</v>
      </c>
      <c r="B2031" s="138">
        <f>'Cap Outlay Deprec 26'!F16</f>
        <v>2317225</v>
      </c>
      <c r="C2031" s="2" t="s">
        <v>573</v>
      </c>
      <c r="D2031" s="2" t="str">
        <f t="shared" si="30"/>
        <v>Error?</v>
      </c>
    </row>
    <row r="2032" spans="1:4" x14ac:dyDescent="0.2">
      <c r="A2032" s="10">
        <v>1971</v>
      </c>
      <c r="D2032" s="2" t="str">
        <f t="shared" si="30"/>
        <v>OK</v>
      </c>
    </row>
    <row r="2033" spans="1:4" x14ac:dyDescent="0.2">
      <c r="A2033" s="5">
        <v>1972</v>
      </c>
      <c r="B2033" s="138">
        <f>'Cap Outlay Deprec 26'!H8</f>
        <v>218751</v>
      </c>
      <c r="D2033" s="2" t="str">
        <f t="shared" si="30"/>
        <v>Error?</v>
      </c>
    </row>
    <row r="2034" spans="1:4" x14ac:dyDescent="0.2">
      <c r="A2034" s="5">
        <v>1973</v>
      </c>
      <c r="B2034" s="138">
        <f>'Cap Outlay Deprec 26'!H10</f>
        <v>49016</v>
      </c>
      <c r="D2034" s="2" t="str">
        <f t="shared" si="30"/>
        <v>Error?</v>
      </c>
    </row>
    <row r="2035" spans="1:4" x14ac:dyDescent="0.2">
      <c r="A2035" s="5">
        <v>1974</v>
      </c>
      <c r="B2035" s="138">
        <f>'Cap Outlay Deprec 26'!H12</f>
        <v>1089775</v>
      </c>
      <c r="D2035" s="2" t="str">
        <f t="shared" si="30"/>
        <v>Error?</v>
      </c>
    </row>
    <row r="2036" spans="1:4" x14ac:dyDescent="0.2">
      <c r="A2036" s="5">
        <v>1975</v>
      </c>
      <c r="B2036" s="138">
        <f>'Cap Outlay Deprec 26'!H13</f>
        <v>218468</v>
      </c>
      <c r="D2036" s="2" t="str">
        <f t="shared" si="30"/>
        <v>Error?</v>
      </c>
    </row>
    <row r="2037" spans="1:4" x14ac:dyDescent="0.2">
      <c r="A2037" s="5">
        <v>1976</v>
      </c>
      <c r="B2037" s="138">
        <f>'Cap Outlay Deprec 26'!H16</f>
        <v>1576010</v>
      </c>
      <c r="C2037" s="2" t="s">
        <v>573</v>
      </c>
      <c r="D2037" s="2" t="str">
        <f t="shared" si="30"/>
        <v>Error?</v>
      </c>
    </row>
    <row r="2038" spans="1:4" x14ac:dyDescent="0.2">
      <c r="A2038" s="10">
        <v>1977</v>
      </c>
      <c r="D2038" s="2" t="str">
        <f t="shared" si="30"/>
        <v>OK</v>
      </c>
    </row>
    <row r="2039" spans="1:4" x14ac:dyDescent="0.2">
      <c r="A2039" s="5">
        <v>1978</v>
      </c>
      <c r="B2039" s="138">
        <f>'Cap Outlay Deprec 26'!I8</f>
        <v>9727</v>
      </c>
      <c r="D2039" s="2" t="str">
        <f t="shared" si="30"/>
        <v>Error?</v>
      </c>
    </row>
    <row r="2040" spans="1:4" x14ac:dyDescent="0.2">
      <c r="A2040" s="5">
        <v>1979</v>
      </c>
      <c r="B2040" s="138">
        <f>'Cap Outlay Deprec 26'!I10</f>
        <v>7237</v>
      </c>
      <c r="D2040" s="2" t="str">
        <f t="shared" si="30"/>
        <v>Error?</v>
      </c>
    </row>
    <row r="2041" spans="1:4" x14ac:dyDescent="0.2">
      <c r="A2041" s="5">
        <v>1980</v>
      </c>
      <c r="B2041" s="138">
        <f>'Cap Outlay Deprec 26'!I12</f>
        <v>36390</v>
      </c>
      <c r="D2041" s="2" t="str">
        <f t="shared" si="30"/>
        <v>Error?</v>
      </c>
    </row>
    <row r="2042" spans="1:4" x14ac:dyDescent="0.2">
      <c r="A2042" s="5">
        <v>1981</v>
      </c>
      <c r="B2042" s="138">
        <f>'Cap Outlay Deprec 26'!I13</f>
        <v>22646</v>
      </c>
      <c r="D2042" s="2" t="str">
        <f t="shared" si="30"/>
        <v>Error?</v>
      </c>
    </row>
    <row r="2043" spans="1:4" x14ac:dyDescent="0.2">
      <c r="A2043" s="5">
        <v>1982</v>
      </c>
      <c r="B2043" s="138">
        <f>'Cap Outlay Deprec 26'!I16</f>
        <v>76000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228478</v>
      </c>
      <c r="C2051" s="2" t="s">
        <v>573</v>
      </c>
      <c r="D2051" s="2" t="str">
        <f t="shared" si="31"/>
        <v>Error?</v>
      </c>
    </row>
    <row r="2052" spans="1:4" x14ac:dyDescent="0.2">
      <c r="A2052" s="5">
        <v>1991</v>
      </c>
      <c r="B2052" s="138">
        <f>'Cap Outlay Deprec 26'!K10</f>
        <v>56253</v>
      </c>
      <c r="C2052" s="2" t="s">
        <v>573</v>
      </c>
      <c r="D2052" s="2" t="str">
        <f t="shared" si="31"/>
        <v>Error?</v>
      </c>
    </row>
    <row r="2053" spans="1:4" x14ac:dyDescent="0.2">
      <c r="A2053" s="5">
        <v>1992</v>
      </c>
      <c r="B2053" s="138">
        <f>'Cap Outlay Deprec 26'!K12</f>
        <v>1126165</v>
      </c>
      <c r="C2053" s="2" t="s">
        <v>573</v>
      </c>
      <c r="D2053" s="2" t="str">
        <f t="shared" si="31"/>
        <v>Error?</v>
      </c>
    </row>
    <row r="2054" spans="1:4" x14ac:dyDescent="0.2">
      <c r="A2054" s="5">
        <v>1993</v>
      </c>
      <c r="B2054" s="138">
        <f>'Cap Outlay Deprec 26'!K13</f>
        <v>241114</v>
      </c>
      <c r="C2054" s="2" t="s">
        <v>573</v>
      </c>
      <c r="D2054" s="2" t="str">
        <f t="shared" si="31"/>
        <v>Error?</v>
      </c>
    </row>
    <row r="2055" spans="1:4" x14ac:dyDescent="0.2">
      <c r="A2055" s="5">
        <v>1994</v>
      </c>
      <c r="B2055" s="138">
        <f>'Cap Outlay Deprec 26'!K16</f>
        <v>1652010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244697</v>
      </c>
      <c r="C2057" s="2" t="s">
        <v>573</v>
      </c>
      <c r="D2057" s="2" t="str">
        <f t="shared" si="31"/>
        <v>Error?</v>
      </c>
    </row>
    <row r="2058" spans="1:4" x14ac:dyDescent="0.2">
      <c r="A2058" s="5">
        <v>1997</v>
      </c>
      <c r="B2058" s="138">
        <f>'Cap Outlay Deprec 26'!L10</f>
        <v>88495</v>
      </c>
      <c r="C2058" s="2" t="s">
        <v>573</v>
      </c>
      <c r="D2058" s="2" t="str">
        <f t="shared" si="31"/>
        <v>Error?</v>
      </c>
    </row>
    <row r="2059" spans="1:4" x14ac:dyDescent="0.2">
      <c r="A2059" s="5">
        <v>1998</v>
      </c>
      <c r="B2059" s="138">
        <f>'Cap Outlay Deprec 26'!L12</f>
        <v>79692</v>
      </c>
      <c r="C2059" s="2" t="s">
        <v>573</v>
      </c>
      <c r="D2059" s="2" t="str">
        <f t="shared" si="31"/>
        <v>Error?</v>
      </c>
    </row>
    <row r="2060" spans="1:4" x14ac:dyDescent="0.2">
      <c r="A2060" s="5">
        <v>1999</v>
      </c>
      <c r="B2060" s="138">
        <f>'Cap Outlay Deprec 26'!L13</f>
        <v>252331</v>
      </c>
      <c r="C2060" s="2" t="s">
        <v>573</v>
      </c>
      <c r="D2060" s="2" t="str">
        <f t="shared" si="31"/>
        <v>Error?</v>
      </c>
    </row>
    <row r="2061" spans="1:4" x14ac:dyDescent="0.2">
      <c r="A2061" s="5">
        <v>2000</v>
      </c>
      <c r="B2061" s="138">
        <f>'Cap Outlay Deprec 26'!L16</f>
        <v>665215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15000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3365281</v>
      </c>
      <c r="C2551" s="2" t="s">
        <v>573</v>
      </c>
      <c r="D2551" s="2" t="str">
        <f t="shared" si="38"/>
        <v>Error?</v>
      </c>
    </row>
    <row r="2552" spans="1:4" x14ac:dyDescent="0.2">
      <c r="A2552" s="10">
        <v>2491</v>
      </c>
      <c r="D2552" s="2" t="str">
        <f t="shared" si="38"/>
        <v>OK</v>
      </c>
    </row>
    <row r="2553" spans="1:4" x14ac:dyDescent="0.2">
      <c r="A2553" s="5">
        <v>2492</v>
      </c>
      <c r="B2553" s="138">
        <f>'Acct Summary 7-8'!C6</f>
        <v>709304</v>
      </c>
      <c r="C2553" s="2" t="s">
        <v>573</v>
      </c>
      <c r="D2553" s="2" t="str">
        <f t="shared" si="38"/>
        <v>Error?</v>
      </c>
    </row>
    <row r="2554" spans="1:4" x14ac:dyDescent="0.2">
      <c r="A2554" s="5">
        <v>2493</v>
      </c>
      <c r="B2554" s="138">
        <f>'Acct Summary 7-8'!C7</f>
        <v>1193311</v>
      </c>
      <c r="C2554" s="2" t="s">
        <v>573</v>
      </c>
      <c r="D2554" s="2" t="str">
        <f t="shared" si="38"/>
        <v>Error?</v>
      </c>
    </row>
    <row r="2555" spans="1:4" x14ac:dyDescent="0.2">
      <c r="A2555" s="5">
        <v>2494</v>
      </c>
      <c r="B2555" s="138">
        <f>'Acct Summary 7-8'!C8</f>
        <v>5267896</v>
      </c>
      <c r="C2555" s="2" t="s">
        <v>573</v>
      </c>
      <c r="D2555" s="2" t="str">
        <f t="shared" si="38"/>
        <v>Error?</v>
      </c>
    </row>
    <row r="2556" spans="1:4" x14ac:dyDescent="0.2">
      <c r="A2556" s="5">
        <v>2495</v>
      </c>
      <c r="B2556" s="138">
        <f>'Acct Summary 7-8'!C12</f>
        <v>3583763</v>
      </c>
      <c r="C2556" s="2" t="s">
        <v>573</v>
      </c>
      <c r="D2556" s="2" t="str">
        <f t="shared" si="38"/>
        <v>Error?</v>
      </c>
    </row>
    <row r="2557" spans="1:4" x14ac:dyDescent="0.2">
      <c r="A2557" s="5">
        <v>2496</v>
      </c>
      <c r="B2557" s="138">
        <f>'Acct Summary 7-8'!C13</f>
        <v>1586059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5169822</v>
      </c>
      <c r="C2561" s="2" t="s">
        <v>573</v>
      </c>
      <c r="D2561" s="2" t="str">
        <f t="shared" si="39"/>
        <v>Error?</v>
      </c>
    </row>
    <row r="2562" spans="1:4" x14ac:dyDescent="0.2">
      <c r="A2562" s="5">
        <v>2501</v>
      </c>
      <c r="B2562" s="138">
        <f>'Acct Summary 7-8'!C20</f>
        <v>98074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93654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10000</v>
      </c>
      <c r="C2567" s="2" t="s">
        <v>573</v>
      </c>
      <c r="D2567" s="2" t="str">
        <f t="shared" si="39"/>
        <v>Error?</v>
      </c>
    </row>
    <row r="2568" spans="1:4" x14ac:dyDescent="0.2">
      <c r="A2568" s="5">
        <v>2507</v>
      </c>
      <c r="B2568" s="138">
        <f>'Acct Summary 7-8'!D8</f>
        <v>103654</v>
      </c>
      <c r="C2568" s="2" t="s">
        <v>573</v>
      </c>
      <c r="D2568" s="2" t="str">
        <f t="shared" si="39"/>
        <v>Error?</v>
      </c>
    </row>
    <row r="2569" spans="1:4" x14ac:dyDescent="0.2">
      <c r="A2569" s="5">
        <v>2508</v>
      </c>
      <c r="B2569" s="138">
        <f>'Acct Summary 7-8'!D13</f>
        <v>351858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15000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366858</v>
      </c>
      <c r="C2573" s="2" t="s">
        <v>573</v>
      </c>
      <c r="D2573" s="2" t="str">
        <f t="shared" si="39"/>
        <v>Error?</v>
      </c>
    </row>
    <row r="2574" spans="1:4" x14ac:dyDescent="0.2">
      <c r="A2574" s="5">
        <v>2513</v>
      </c>
      <c r="B2574" s="138">
        <f>'Acct Summary 7-8'!D20</f>
        <v>-263204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232034</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232034</v>
      </c>
      <c r="C2595" s="2" t="s">
        <v>573</v>
      </c>
      <c r="D2595" s="2" t="str">
        <f t="shared" si="39"/>
        <v>Error?</v>
      </c>
    </row>
    <row r="2596" spans="1:4" x14ac:dyDescent="0.2">
      <c r="A2596" s="5">
        <v>2535</v>
      </c>
      <c r="B2596" s="138">
        <f>'Acct Summary 7-8'!F13</f>
        <v>526706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526706</v>
      </c>
      <c r="C2600" s="2" t="s">
        <v>573</v>
      </c>
      <c r="D2600" s="2" t="str">
        <f t="shared" si="39"/>
        <v>Error?</v>
      </c>
    </row>
    <row r="2601" spans="1:4" x14ac:dyDescent="0.2">
      <c r="A2601" s="5">
        <v>2540</v>
      </c>
      <c r="B2601" s="138">
        <f>'Acct Summary 7-8'!F20</f>
        <v>-294672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189119</v>
      </c>
      <c r="D2718" s="2" t="str">
        <f t="shared" si="41"/>
        <v>Error?</v>
      </c>
    </row>
    <row r="2719" spans="1:4" x14ac:dyDescent="0.2">
      <c r="A2719" s="5">
        <v>2658</v>
      </c>
      <c r="B2719" s="138">
        <f>'Expenditures 15-22'!D51</f>
        <v>51930</v>
      </c>
      <c r="D2719" s="2" t="str">
        <f t="shared" si="41"/>
        <v>Error?</v>
      </c>
    </row>
    <row r="2720" spans="1:4" x14ac:dyDescent="0.2">
      <c r="A2720" s="5">
        <v>2659</v>
      </c>
      <c r="B2720" s="138">
        <f>'Expenditures 15-22'!E51</f>
        <v>179400</v>
      </c>
      <c r="D2720" s="2" t="str">
        <f t="shared" si="41"/>
        <v>Error?</v>
      </c>
    </row>
    <row r="2721" spans="1:4" x14ac:dyDescent="0.2">
      <c r="A2721" s="5">
        <v>2660</v>
      </c>
      <c r="B2721" s="138">
        <f>'Expenditures 15-22'!F51</f>
        <v>21280</v>
      </c>
      <c r="D2721" s="2" t="str">
        <f t="shared" si="41"/>
        <v>Error?</v>
      </c>
    </row>
    <row r="2722" spans="1:4" x14ac:dyDescent="0.2">
      <c r="A2722" s="5">
        <v>2661</v>
      </c>
      <c r="B2722" s="138">
        <f>'Expenditures 15-22'!G51</f>
        <v>5088</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446817</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15000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98074</v>
      </c>
      <c r="C3233" s="2" t="s">
        <v>573</v>
      </c>
      <c r="D3233" s="2" t="str">
        <f t="shared" si="49"/>
        <v>Error?</v>
      </c>
    </row>
    <row r="3234" spans="1:4" x14ac:dyDescent="0.2">
      <c r="A3234" s="5">
        <v>3173</v>
      </c>
      <c r="B3234" s="138">
        <f>'Acct Summary 7-8'!D43</f>
        <v>236400</v>
      </c>
      <c r="D3234" s="2" t="str">
        <f t="shared" si="49"/>
        <v>Error?</v>
      </c>
    </row>
    <row r="3235" spans="1:4" x14ac:dyDescent="0.2">
      <c r="A3235" s="5">
        <v>3174</v>
      </c>
      <c r="B3235" s="138">
        <f>'Acct Summary 7-8'!D44</f>
        <v>236400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236400</v>
      </c>
      <c r="C3238" s="2" t="s">
        <v>573</v>
      </c>
      <c r="D3238" s="2" t="str">
        <f t="shared" si="49"/>
        <v>Error?</v>
      </c>
    </row>
    <row r="3239" spans="1:4" x14ac:dyDescent="0.2">
      <c r="A3239" s="5">
        <v>3178</v>
      </c>
      <c r="B3239" s="138">
        <f>'Acct Summary 7-8'!D78</f>
        <v>-26804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-294672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2455159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698548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50495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16222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178571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3398995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354392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15356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202100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10776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2455773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7723669</v>
      </c>
      <c r="C4122" s="2" t="s">
        <v>573</v>
      </c>
      <c r="D4122" s="2" t="str">
        <f t="shared" si="63"/>
        <v>Error?</v>
      </c>
    </row>
    <row r="4123" spans="1:4" x14ac:dyDescent="0.2">
      <c r="A4123" s="5">
        <v>4062</v>
      </c>
      <c r="B4123" s="138">
        <f>'Acct Summary 7-8'!D10</f>
        <v>103654</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232034</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2455773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7625595</v>
      </c>
      <c r="C4136" s="2" t="s">
        <v>573</v>
      </c>
      <c r="D4136" s="2" t="str">
        <f t="shared" si="63"/>
        <v>Error?</v>
      </c>
    </row>
    <row r="4137" spans="1:4" x14ac:dyDescent="0.2">
      <c r="A4137" s="5">
        <v>4076</v>
      </c>
      <c r="B4137" s="138">
        <f>'Acct Summary 7-8'!D19</f>
        <v>366858</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526706</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236400</v>
      </c>
      <c r="C4171" s="2" t="s">
        <v>573</v>
      </c>
      <c r="D4171" s="2" t="str">
        <f t="shared" si="64"/>
        <v>Error?</v>
      </c>
    </row>
    <row r="4172" spans="1:4" x14ac:dyDescent="0.2">
      <c r="A4172" s="5">
        <v>4111</v>
      </c>
      <c r="B4172" s="138">
        <f>'Short-Term Long-Term Debt 24'!J49</f>
        <v>236400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15000</v>
      </c>
      <c r="D4201" s="2" t="str">
        <f t="shared" si="64"/>
        <v>Error?</v>
      </c>
    </row>
    <row r="4202" spans="1:4" x14ac:dyDescent="0.2">
      <c r="A4202" s="5">
        <v>4141</v>
      </c>
      <c r="B4202" s="138">
        <f>'Expenditures 15-22'!E137</f>
        <v>15000</v>
      </c>
      <c r="C4202" s="2" t="s">
        <v>573</v>
      </c>
      <c r="D4202" s="2" t="str">
        <f t="shared" si="64"/>
        <v>Error?</v>
      </c>
    </row>
    <row r="4203" spans="1:4" x14ac:dyDescent="0.2">
      <c r="A4203" s="5">
        <v>4142</v>
      </c>
      <c r="B4203" s="138">
        <f>'Expenditures 15-22'!E139</f>
        <v>15000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1106906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30458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54656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236400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3290372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3290372</v>
      </c>
      <c r="C5087" s="2" t="s">
        <v>573</v>
      </c>
      <c r="D5087" s="2" t="str">
        <f t="shared" si="78"/>
        <v>Error?</v>
      </c>
    </row>
    <row r="5088" spans="1:4" x14ac:dyDescent="0.2">
      <c r="A5088" s="5">
        <v>5027</v>
      </c>
      <c r="B5088" s="138">
        <f>'Revenues 9-14'!C65</f>
        <v>7295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7295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880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880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9516</v>
      </c>
      <c r="D5115" s="2" t="str">
        <f t="shared" si="78"/>
        <v>Error?</v>
      </c>
    </row>
    <row r="5116" spans="1:4" x14ac:dyDescent="0.2">
      <c r="A5116" s="5">
        <v>5055</v>
      </c>
      <c r="B5116" s="138">
        <f>'Revenues 9-14'!C99</f>
        <v>13450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43768</v>
      </c>
      <c r="D5119" s="2" t="str">
        <f t="shared" ref="D5119:D5182" si="79">IF(ISBLANK(B5119),"OK",IF(A5119-B5119=0,"OK","Error?"))</f>
        <v>Error?</v>
      </c>
    </row>
    <row r="5120" spans="1:4" x14ac:dyDescent="0.2">
      <c r="A5120" s="5">
        <v>5059</v>
      </c>
      <c r="B5120" s="138">
        <f>'Revenues 9-14'!C108</f>
        <v>66734</v>
      </c>
      <c r="C5120" s="2" t="s">
        <v>573</v>
      </c>
      <c r="D5120" s="2" t="str">
        <f t="shared" si="79"/>
        <v>Error?</v>
      </c>
    </row>
    <row r="5121" spans="1:4" x14ac:dyDescent="0.2">
      <c r="A5121" s="5">
        <v>5060</v>
      </c>
      <c r="B5121" s="138">
        <f>'Revenues 9-14'!C109</f>
        <v>3365281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709174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709174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709304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3784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2198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5982</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737749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364466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1102215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1193311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1193311</v>
      </c>
      <c r="C5326" s="2" t="s">
        <v>573</v>
      </c>
      <c r="D5326" s="2" t="str">
        <f t="shared" si="82"/>
        <v>Error?</v>
      </c>
    </row>
    <row r="5327" spans="1:5" x14ac:dyDescent="0.2">
      <c r="A5327" s="5">
        <v>5266</v>
      </c>
      <c r="B5327" s="138">
        <f>'Revenues 9-14'!C268</f>
        <v>5267896</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56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93598</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93598</v>
      </c>
      <c r="C5355" s="2" t="s">
        <v>573</v>
      </c>
      <c r="D5355" s="2" t="str">
        <f t="shared" si="82"/>
        <v>Error?</v>
      </c>
    </row>
    <row r="5356" spans="1:4" x14ac:dyDescent="0.2">
      <c r="A5356" s="5">
        <v>5295</v>
      </c>
      <c r="B5356" s="138">
        <f>'Revenues 9-14'!D109</f>
        <v>93654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10000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10000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10000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10000</v>
      </c>
      <c r="C5507" s="2" t="s">
        <v>573</v>
      </c>
      <c r="D5507" s="2" t="str">
        <f t="shared" si="85"/>
        <v>Error?</v>
      </c>
    </row>
    <row r="5508" spans="1:4" x14ac:dyDescent="0.2">
      <c r="A5508" s="5">
        <v>5447</v>
      </c>
      <c r="B5508" s="138">
        <f>'Revenues 9-14'!D268</f>
        <v>103654</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231033</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231033</v>
      </c>
      <c r="C5579" s="2" t="s">
        <v>573</v>
      </c>
      <c r="D5579" s="2" t="str">
        <f t="shared" si="86"/>
        <v>Error?</v>
      </c>
    </row>
    <row r="5580" spans="1:4" x14ac:dyDescent="0.2">
      <c r="A5580" s="5">
        <v>5519</v>
      </c>
      <c r="B5580" s="138">
        <f>'Revenues 9-14'!F65</f>
        <v>401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401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600</v>
      </c>
      <c r="D5586" s="2" t="str">
        <f t="shared" si="86"/>
        <v>Error?</v>
      </c>
    </row>
    <row r="5587" spans="1:4" x14ac:dyDescent="0.2">
      <c r="A5587" s="5">
        <v>5526</v>
      </c>
      <c r="B5587" s="138">
        <f>'Revenues 9-14'!F108</f>
        <v>600</v>
      </c>
      <c r="C5587" s="2" t="s">
        <v>573</v>
      </c>
      <c r="D5587" s="2" t="str">
        <f t="shared" si="86"/>
        <v>Error?</v>
      </c>
    </row>
    <row r="5588" spans="1:4" x14ac:dyDescent="0.2">
      <c r="A5588" s="5">
        <v>5527</v>
      </c>
      <c r="B5588" s="138">
        <f>'Revenues 9-14'!F109</f>
        <v>232034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232034</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684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98074</v>
      </c>
      <c r="D6267" s="2" t="str">
        <f t="shared" si="96"/>
        <v>Error?</v>
      </c>
      <c r="E6267" s="2" t="s">
        <v>190</v>
      </c>
    </row>
    <row r="6268" spans="1:5" x14ac:dyDescent="0.2">
      <c r="A6268">
        <v>6207</v>
      </c>
      <c r="B6268" s="138">
        <f>'Acct Summary 7-8'!D82</f>
        <v>-26804</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-294672</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0.11026364607341615</v>
      </c>
      <c r="D6276" s="2" t="str">
        <f t="shared" si="97"/>
        <v>Error?</v>
      </c>
      <c r="E6276" s="2" t="s">
        <v>190</v>
      </c>
    </row>
    <row r="6277" spans="1:5" x14ac:dyDescent="0.2">
      <c r="A6277">
        <v>6216</v>
      </c>
      <c r="B6277" s="138">
        <f>'Acct Summary 7-8'!D83</f>
        <v>-1.7455066423547798</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-1.4580504700643246</v>
      </c>
      <c r="D6279" s="2" t="str">
        <f t="shared" si="97"/>
        <v>Error?</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173160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144690</v>
      </c>
      <c r="D7251" s="2" t="str">
        <f t="shared" si="112"/>
        <v>Error?</v>
      </c>
    </row>
    <row r="7252" spans="1:4" x14ac:dyDescent="0.2">
      <c r="A7252">
        <f t="shared" si="113"/>
        <v>7191</v>
      </c>
      <c r="B7252" s="138">
        <f>'Expenditures 15-22'!D9</f>
        <v>28144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326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76000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29'!D142</f>
        <v>0</v>
      </c>
      <c r="D7797" s="2" t="str">
        <f t="shared" si="127"/>
        <v>Error?</v>
      </c>
      <c r="E7797" s="4" t="s">
        <v>1901</v>
      </c>
    </row>
    <row r="7798" spans="1:5" x14ac:dyDescent="0.2">
      <c r="A7798">
        <v>7737</v>
      </c>
      <c r="B7798" s="138">
        <f>'Contracts Paid in CY 29'!F142</f>
        <v>0</v>
      </c>
      <c r="D7798" s="2" t="str">
        <f t="shared" si="127"/>
        <v>Error?</v>
      </c>
      <c r="E7798" s="4" t="s">
        <v>1901</v>
      </c>
    </row>
    <row r="7799" spans="1:5" x14ac:dyDescent="0.2">
      <c r="A7799">
        <v>7738</v>
      </c>
      <c r="B7799" s="138">
        <f>'Contracts Paid in CY 29'!G142</f>
        <v>0</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1985</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Iroquois Special Education</v>
      </c>
      <c r="B7" s="2389"/>
      <c r="C7" s="2389"/>
      <c r="D7" s="2426"/>
      <c r="E7" s="2427">
        <f>COVER!A13</f>
        <v>32038801060</v>
      </c>
      <c r="F7" s="2428"/>
      <c r="G7" s="2395" t="str">
        <f>COVER!T23</f>
        <v>065.018319</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RUSSELL LEIGH &amp; ASSOCIATES LLC</v>
      </c>
      <c r="H9" s="2402"/>
      <c r="I9" s="2402"/>
      <c r="J9" s="2402"/>
      <c r="K9" s="2402"/>
      <c r="L9" s="2403"/>
    </row>
    <row r="10" spans="1:29" ht="13.5" customHeight="1" x14ac:dyDescent="0.2">
      <c r="A10" s="2385" t="str">
        <f>COVER!A38</f>
        <v>Nicole Bullington</v>
      </c>
      <c r="B10" s="2386"/>
      <c r="C10" s="2386"/>
      <c r="D10" s="2386"/>
      <c r="E10" s="2386"/>
      <c r="F10" s="2387"/>
      <c r="G10" s="2401" t="str">
        <f>COVER!T17</f>
        <v>228 E MAIN ST</v>
      </c>
      <c r="H10" s="2414"/>
      <c r="I10" s="2414"/>
      <c r="J10" s="2414"/>
      <c r="K10" s="2414"/>
      <c r="L10" s="2415"/>
    </row>
    <row r="11" spans="1:29" ht="13.5" customHeight="1" x14ac:dyDescent="0.2">
      <c r="A11" s="1184" t="s">
        <v>1519</v>
      </c>
      <c r="B11" s="1185"/>
      <c r="C11" s="1186"/>
      <c r="D11" s="1191"/>
      <c r="E11" s="1186"/>
      <c r="F11" s="1190"/>
      <c r="G11" s="2401" t="str">
        <f>COVER!T19</f>
        <v>HOOPESTON</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admin@russleigh.com</v>
      </c>
      <c r="J13" s="2423"/>
      <c r="K13" s="2423"/>
      <c r="L13" s="2424"/>
    </row>
    <row r="14" spans="1:29" ht="13.5" customHeight="1" x14ac:dyDescent="0.2">
      <c r="A14" s="2401" t="str">
        <f>COVER!A19</f>
        <v>106 E FRONT STREET</v>
      </c>
      <c r="B14" s="2414"/>
      <c r="C14" s="2414"/>
      <c r="D14" s="2414"/>
      <c r="E14" s="2414"/>
      <c r="F14" s="2415"/>
      <c r="G14" s="1195" t="s">
        <v>1185</v>
      </c>
      <c r="H14" s="1193"/>
      <c r="I14" s="1193"/>
      <c r="J14" s="1193"/>
      <c r="K14" s="1193"/>
      <c r="L14" s="1194"/>
    </row>
    <row r="15" spans="1:29" ht="13.5" customHeight="1" x14ac:dyDescent="0.2">
      <c r="A15" s="2401" t="str">
        <f>COVER!A21</f>
        <v>GILMAN</v>
      </c>
      <c r="B15" s="2414"/>
      <c r="C15" s="2414"/>
      <c r="D15" s="2414"/>
      <c r="E15" s="2414"/>
      <c r="F15" s="2415"/>
      <c r="G15" s="2411" t="str">
        <f>COVER!T15</f>
        <v>RUSS LEIGH</v>
      </c>
      <c r="H15" s="2412"/>
      <c r="I15" s="2412"/>
      <c r="J15" s="2412"/>
      <c r="K15" s="2412"/>
      <c r="L15" s="2413"/>
    </row>
    <row r="16" spans="1:29" ht="12.2" customHeight="1" x14ac:dyDescent="0.2">
      <c r="A16" s="2391">
        <f>COVER!A25</f>
        <v>60938</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217-283-9336</v>
      </c>
      <c r="H18" s="2389"/>
      <c r="I18" s="2389"/>
      <c r="J18" s="2389"/>
      <c r="K18" s="2388" t="str">
        <f>COVER!X21</f>
        <v>217-283-9736</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Iroquois Special Education</v>
      </c>
      <c r="B1" s="2425"/>
      <c r="C1" s="2425"/>
      <c r="D1" s="2425"/>
    </row>
    <row r="2" spans="1:11" s="1212" customFormat="1" ht="12.75" x14ac:dyDescent="0.2">
      <c r="A2" s="2430">
        <f>'Single Audit Cover'!E7</f>
        <v>32038801060</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Iroquois Special Education</v>
      </c>
      <c r="B1" s="2433"/>
      <c r="C1" s="2433"/>
      <c r="D1" s="2433"/>
      <c r="E1" s="2433"/>
    </row>
    <row r="2" spans="1:5" x14ac:dyDescent="0.2">
      <c r="A2" s="2434">
        <f>'Single Audit Cover'!E7</f>
        <v>32038801060</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1203311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684</v>
      </c>
    </row>
    <row r="15" spans="1:5" x14ac:dyDescent="0.2">
      <c r="A15" s="1258"/>
      <c r="B15" s="1259"/>
      <c r="C15" s="1259"/>
    </row>
    <row r="16" spans="1:5" x14ac:dyDescent="0.2">
      <c r="A16" s="1258" t="s">
        <v>1841</v>
      </c>
      <c r="B16" s="1259"/>
      <c r="C16" s="1259"/>
    </row>
    <row r="17" spans="1:4" x14ac:dyDescent="0.2">
      <c r="A17" s="1258" t="s">
        <v>2057</v>
      </c>
      <c r="B17" s="1259" t="s">
        <v>1236</v>
      </c>
      <c r="C17" s="1259"/>
      <c r="D17" s="1261">
        <f>-SUM('Revenues 9-14'!C264:D264,'Revenues 9-14'!F264:G264)</f>
        <v>-54656</v>
      </c>
    </row>
    <row r="19" spans="1:4" ht="13.5" thickBot="1" x14ac:dyDescent="0.25">
      <c r="A19" s="1262" t="s">
        <v>1235</v>
      </c>
      <c r="D19" s="1263">
        <f>SUM(D10:D17)</f>
        <v>1149339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1149339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1149339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I19" sqref="I1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Iroquois Special Education</v>
      </c>
      <c r="C1" s="2437"/>
      <c r="D1" s="2437"/>
      <c r="E1" s="2437"/>
      <c r="F1" s="2437"/>
      <c r="G1" s="2437"/>
      <c r="H1" s="2437"/>
      <c r="I1" s="2437"/>
      <c r="J1" s="2437"/>
      <c r="K1" s="2437"/>
      <c r="L1" s="2437"/>
      <c r="M1" s="2437"/>
    </row>
    <row r="2" spans="2:14" ht="15" x14ac:dyDescent="0.2">
      <c r="B2" s="2438">
        <f>'Single Audit Cover'!E7</f>
        <v>32038801060</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2099</v>
      </c>
      <c r="C11" s="1335"/>
      <c r="D11" s="1336"/>
      <c r="E11" s="1337"/>
      <c r="F11" s="1337"/>
      <c r="G11" s="1337"/>
      <c r="H11" s="1337"/>
      <c r="I11" s="1337"/>
      <c r="J11" s="1337"/>
      <c r="K11" s="1337"/>
      <c r="L11" s="1337">
        <f>+G11+I11+K11</f>
        <v>0</v>
      </c>
      <c r="M11" s="1337"/>
    </row>
    <row r="12" spans="2:14" ht="20.100000000000001" customHeight="1" x14ac:dyDescent="0.2">
      <c r="B12" s="1334" t="s">
        <v>2100</v>
      </c>
      <c r="C12" s="1338"/>
      <c r="D12" s="1339"/>
      <c r="E12" s="1340"/>
      <c r="F12" s="1340"/>
      <c r="G12" s="1340"/>
      <c r="H12" s="1340"/>
      <c r="I12" s="1340"/>
      <c r="J12" s="1340"/>
      <c r="K12" s="1340"/>
      <c r="L12" s="1337">
        <f t="shared" ref="L12:L27" si="0">+G12+I12+K12</f>
        <v>0</v>
      </c>
      <c r="M12" s="1340"/>
    </row>
    <row r="13" spans="2:14" ht="20.100000000000001" customHeight="1" x14ac:dyDescent="0.2">
      <c r="B13" s="1334" t="s">
        <v>2101</v>
      </c>
      <c r="C13" s="1338">
        <v>10.555</v>
      </c>
      <c r="D13" s="1339">
        <v>4210</v>
      </c>
      <c r="E13" s="1340"/>
      <c r="F13" s="1340">
        <v>646</v>
      </c>
      <c r="G13" s="1340"/>
      <c r="H13" s="1340"/>
      <c r="I13" s="1340">
        <v>646</v>
      </c>
      <c r="J13" s="1340"/>
      <c r="K13" s="1340"/>
      <c r="L13" s="1337">
        <f t="shared" si="0"/>
        <v>646</v>
      </c>
      <c r="M13" s="1340"/>
    </row>
    <row r="14" spans="2:14" ht="20.100000000000001" customHeight="1" x14ac:dyDescent="0.2">
      <c r="B14" s="1334" t="s">
        <v>2101</v>
      </c>
      <c r="C14" s="1338">
        <v>10.555</v>
      </c>
      <c r="D14" s="1339">
        <v>4210</v>
      </c>
      <c r="E14" s="1340"/>
      <c r="F14" s="1340">
        <v>3138</v>
      </c>
      <c r="G14" s="1340"/>
      <c r="H14" s="1340"/>
      <c r="I14" s="1340">
        <v>3138</v>
      </c>
      <c r="J14" s="1340"/>
      <c r="K14" s="1340"/>
      <c r="L14" s="1337">
        <f t="shared" si="0"/>
        <v>3138</v>
      </c>
      <c r="M14" s="1340"/>
    </row>
    <row r="15" spans="2:14" ht="20.100000000000001" customHeight="1" x14ac:dyDescent="0.2">
      <c r="B15" s="1334" t="s">
        <v>2102</v>
      </c>
      <c r="C15" s="1338">
        <v>10.553000000000001</v>
      </c>
      <c r="D15" s="1339">
        <v>4220</v>
      </c>
      <c r="E15" s="1340"/>
      <c r="F15" s="1340">
        <v>320</v>
      </c>
      <c r="G15" s="1340"/>
      <c r="H15" s="1340"/>
      <c r="I15" s="1340">
        <v>320</v>
      </c>
      <c r="J15" s="1340"/>
      <c r="K15" s="1340"/>
      <c r="L15" s="1337">
        <f t="shared" si="0"/>
        <v>320</v>
      </c>
      <c r="M15" s="1340"/>
    </row>
    <row r="16" spans="2:14" ht="20.100000000000001" customHeight="1" x14ac:dyDescent="0.2">
      <c r="B16" s="1334" t="s">
        <v>2102</v>
      </c>
      <c r="C16" s="1338">
        <v>10.553000000000001</v>
      </c>
      <c r="D16" s="1339">
        <v>4220</v>
      </c>
      <c r="E16" s="1340"/>
      <c r="F16" s="1340">
        <v>1878</v>
      </c>
      <c r="G16" s="1340"/>
      <c r="H16" s="1340"/>
      <c r="I16" s="1340">
        <v>1878</v>
      </c>
      <c r="J16" s="1340"/>
      <c r="K16" s="1340"/>
      <c r="L16" s="1337">
        <f t="shared" si="0"/>
        <v>1878</v>
      </c>
      <c r="M16" s="1340"/>
    </row>
    <row r="17" spans="2:14" ht="20.100000000000001" customHeight="1" x14ac:dyDescent="0.2">
      <c r="B17" s="1334" t="s">
        <v>2103</v>
      </c>
      <c r="C17" s="1338">
        <v>10.555</v>
      </c>
      <c r="D17" s="1339">
        <v>4250</v>
      </c>
      <c r="E17" s="1340"/>
      <c r="F17" s="1340">
        <v>684</v>
      </c>
      <c r="G17" s="1340"/>
      <c r="H17" s="1340"/>
      <c r="I17" s="1340">
        <v>684</v>
      </c>
      <c r="J17" s="1340"/>
      <c r="K17" s="1340"/>
      <c r="L17" s="1337">
        <f t="shared" si="0"/>
        <v>684</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2104</v>
      </c>
      <c r="C19" s="1338"/>
      <c r="D19" s="1339"/>
      <c r="E19" s="1340"/>
      <c r="F19" s="1340">
        <v>6666</v>
      </c>
      <c r="G19" s="1340"/>
      <c r="H19" s="1340"/>
      <c r="I19" s="1340">
        <v>6666</v>
      </c>
      <c r="J19" s="1340"/>
      <c r="K19" s="1340"/>
      <c r="L19" s="1337">
        <f t="shared" si="0"/>
        <v>6666</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t="s">
        <v>2105</v>
      </c>
      <c r="C21" s="1338"/>
      <c r="D21" s="1339"/>
      <c r="E21" s="1340"/>
      <c r="F21" s="1340"/>
      <c r="G21" s="1340"/>
      <c r="H21" s="1340"/>
      <c r="I21" s="1340"/>
      <c r="J21" s="1340"/>
      <c r="K21" s="1340"/>
      <c r="L21" s="1337">
        <f t="shared" si="0"/>
        <v>0</v>
      </c>
      <c r="M21" s="1340"/>
    </row>
    <row r="22" spans="2:14" ht="20.100000000000001" customHeight="1" x14ac:dyDescent="0.2">
      <c r="B22" s="1334" t="s">
        <v>2106</v>
      </c>
      <c r="C22" s="1338"/>
      <c r="D22" s="1339"/>
      <c r="E22" s="1340"/>
      <c r="F22" s="1340"/>
      <c r="G22" s="1340"/>
      <c r="H22" s="1340"/>
      <c r="I22" s="1340"/>
      <c r="J22" s="1340"/>
      <c r="K22" s="1340"/>
      <c r="L22" s="1337">
        <f t="shared" si="0"/>
        <v>0</v>
      </c>
      <c r="M22" s="1340"/>
    </row>
    <row r="23" spans="2:14" ht="20.100000000000001" customHeight="1" x14ac:dyDescent="0.2">
      <c r="B23" s="1334" t="s">
        <v>2107</v>
      </c>
      <c r="C23" s="1338">
        <v>84.173000000000002</v>
      </c>
      <c r="D23" s="1339">
        <v>4600</v>
      </c>
      <c r="E23" s="1340">
        <v>13799</v>
      </c>
      <c r="F23" s="1340">
        <v>6594</v>
      </c>
      <c r="G23" s="1340">
        <v>20293</v>
      </c>
      <c r="H23" s="1340"/>
      <c r="I23" s="1340"/>
      <c r="J23" s="1340"/>
      <c r="K23" s="1340"/>
      <c r="L23" s="1337">
        <f t="shared" si="0"/>
        <v>20293</v>
      </c>
      <c r="M23" s="1340"/>
    </row>
    <row r="24" spans="2:14" ht="20.100000000000001" customHeight="1" x14ac:dyDescent="0.2">
      <c r="B24" s="1334" t="s">
        <v>2107</v>
      </c>
      <c r="C24" s="1338">
        <v>84.173000000000002</v>
      </c>
      <c r="D24" s="1339">
        <v>4600</v>
      </c>
      <c r="E24" s="1340"/>
      <c r="F24" s="1340">
        <v>25352</v>
      </c>
      <c r="G24" s="1340"/>
      <c r="H24" s="1340"/>
      <c r="I24" s="1340">
        <v>27480</v>
      </c>
      <c r="J24" s="1340"/>
      <c r="K24" s="1340">
        <v>2100</v>
      </c>
      <c r="L24" s="1337">
        <f t="shared" si="0"/>
        <v>29580</v>
      </c>
      <c r="M24" s="1340"/>
    </row>
    <row r="25" spans="2:14" ht="20.100000000000001" customHeight="1" x14ac:dyDescent="0.2">
      <c r="B25" s="1334" t="s">
        <v>2108</v>
      </c>
      <c r="C25" s="1338">
        <v>84.027000000000001</v>
      </c>
      <c r="D25" s="1339">
        <v>4620</v>
      </c>
      <c r="E25" s="1340">
        <v>496535</v>
      </c>
      <c r="F25" s="1340">
        <v>364466</v>
      </c>
      <c r="G25" s="1340">
        <v>738062</v>
      </c>
      <c r="H25" s="1340"/>
      <c r="I25" s="1340">
        <v>125939</v>
      </c>
      <c r="J25" s="1340"/>
      <c r="K25" s="1340"/>
      <c r="L25" s="1337">
        <f t="shared" si="0"/>
        <v>864001</v>
      </c>
      <c r="M25" s="1340"/>
    </row>
    <row r="26" spans="2:14" ht="20.100000000000001" customHeight="1" x14ac:dyDescent="0.2">
      <c r="B26" s="1334" t="s">
        <v>2108</v>
      </c>
      <c r="C26" s="1338">
        <v>84.027000000000001</v>
      </c>
      <c r="D26" s="1339">
        <v>4620</v>
      </c>
      <c r="E26" s="1340"/>
      <c r="F26" s="1340">
        <v>715803</v>
      </c>
      <c r="G26" s="1340"/>
      <c r="H26" s="1340"/>
      <c r="I26" s="1340">
        <v>829045</v>
      </c>
      <c r="J26" s="1340"/>
      <c r="K26" s="1340">
        <v>201639</v>
      </c>
      <c r="L26" s="1337">
        <f t="shared" si="0"/>
        <v>1030684</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F23" sqref="F2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Iroquois Special Education</v>
      </c>
      <c r="C1" s="2437"/>
      <c r="D1" s="2437"/>
      <c r="E1" s="2437"/>
      <c r="F1" s="2437"/>
      <c r="G1" s="2437"/>
      <c r="H1" s="2437"/>
      <c r="I1" s="2437"/>
      <c r="J1" s="2437"/>
      <c r="K1" s="2437"/>
      <c r="L1" s="2437"/>
      <c r="M1" s="2437"/>
    </row>
    <row r="2" spans="2:14" ht="15" x14ac:dyDescent="0.2">
      <c r="B2" s="2438">
        <f>'Single Audit Cover'!E7</f>
        <v>32038801060</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t="s">
        <v>2104</v>
      </c>
      <c r="C12" s="1338"/>
      <c r="D12" s="1339"/>
      <c r="E12" s="1340">
        <v>510334</v>
      </c>
      <c r="F12" s="1340">
        <v>1112215</v>
      </c>
      <c r="G12" s="1340">
        <v>758355</v>
      </c>
      <c r="H12" s="1340"/>
      <c r="I12" s="1340">
        <v>982464</v>
      </c>
      <c r="J12" s="1340"/>
      <c r="K12" s="1340">
        <v>203733</v>
      </c>
      <c r="L12" s="1337">
        <f t="shared" ref="L12:L27" si="0">+G12+I12+K12</f>
        <v>1944552</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2109</v>
      </c>
      <c r="C14" s="1338"/>
      <c r="D14" s="1339"/>
      <c r="E14" s="1340"/>
      <c r="F14" s="1340"/>
      <c r="G14" s="1340"/>
      <c r="H14" s="1340"/>
      <c r="I14" s="1340"/>
      <c r="J14" s="1340"/>
      <c r="K14" s="1340"/>
      <c r="L14" s="1337">
        <f t="shared" si="0"/>
        <v>0</v>
      </c>
      <c r="M14" s="1340"/>
    </row>
    <row r="15" spans="2:14" ht="20.100000000000001" customHeight="1" x14ac:dyDescent="0.2">
      <c r="B15" s="1334" t="s">
        <v>2110</v>
      </c>
      <c r="C15" s="1338"/>
      <c r="D15" s="1339"/>
      <c r="E15" s="1340"/>
      <c r="F15" s="1340"/>
      <c r="G15" s="1340"/>
      <c r="H15" s="1340"/>
      <c r="I15" s="1340"/>
      <c r="J15" s="1340"/>
      <c r="K15" s="1340"/>
      <c r="L15" s="1337">
        <f t="shared" si="0"/>
        <v>0</v>
      </c>
      <c r="M15" s="1340"/>
    </row>
    <row r="16" spans="2:14" ht="20.100000000000001" customHeight="1" x14ac:dyDescent="0.2">
      <c r="B16" s="1334" t="s">
        <v>2111</v>
      </c>
      <c r="C16" s="1338">
        <v>93.778000000000006</v>
      </c>
      <c r="D16" s="1339">
        <v>4991</v>
      </c>
      <c r="E16" s="1340"/>
      <c r="F16" s="1340">
        <v>30458</v>
      </c>
      <c r="G16" s="1340"/>
      <c r="H16" s="1340"/>
      <c r="I16" s="1340">
        <v>30458</v>
      </c>
      <c r="J16" s="1340"/>
      <c r="K16" s="1340"/>
      <c r="L16" s="1337">
        <f t="shared" si="0"/>
        <v>30458</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2112</v>
      </c>
      <c r="C18" s="1338"/>
      <c r="D18" s="1339"/>
      <c r="E18" s="1340"/>
      <c r="F18" s="1340">
        <v>30458</v>
      </c>
      <c r="G18" s="1340"/>
      <c r="H18" s="1340"/>
      <c r="I18" s="1340">
        <v>30458</v>
      </c>
      <c r="J18" s="1340"/>
      <c r="K18" s="1340"/>
      <c r="L18" s="1337">
        <f t="shared" si="0"/>
        <v>30458</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t="s">
        <v>2113</v>
      </c>
      <c r="C21" s="1338"/>
      <c r="D21" s="1339"/>
      <c r="E21" s="1340">
        <v>510334</v>
      </c>
      <c r="F21" s="1340">
        <v>1149339</v>
      </c>
      <c r="G21" s="1340">
        <v>758335</v>
      </c>
      <c r="H21" s="1340"/>
      <c r="I21" s="1340">
        <v>1019589</v>
      </c>
      <c r="J21" s="1340"/>
      <c r="K21" s="1340">
        <v>203733</v>
      </c>
      <c r="L21" s="1337">
        <f t="shared" si="0"/>
        <v>1981657</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v>0</v>
      </c>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40"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Iroquois Special Education</v>
      </c>
      <c r="B1" s="2442"/>
      <c r="C1" s="2442"/>
      <c r="D1" s="2442"/>
      <c r="E1" s="2442"/>
      <c r="F1" s="2442"/>
    </row>
    <row r="2" spans="1:7" ht="13.5" customHeight="1" x14ac:dyDescent="0.2">
      <c r="A2" s="2438">
        <f>'Single Audit Cover'!E7</f>
        <v>32038801060</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2114</v>
      </c>
      <c r="B7" s="2441"/>
      <c r="C7" s="2441"/>
      <c r="D7" s="2441"/>
      <c r="E7" s="2441"/>
      <c r="F7" s="2441"/>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2115</v>
      </c>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1" t="s">
        <v>2116</v>
      </c>
      <c r="B13" s="2441"/>
      <c r="C13" s="2441"/>
      <c r="D13" s="2441"/>
      <c r="E13" s="2441"/>
      <c r="F13" s="2441"/>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t="s">
        <v>2117</v>
      </c>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1730</v>
      </c>
      <c r="B32" s="2449"/>
      <c r="C32" s="2449"/>
      <c r="D32" s="2449"/>
      <c r="E32" s="2449"/>
      <c r="F32" s="2449"/>
    </row>
    <row r="33" spans="1:6" ht="13.5" customHeight="1" x14ac:dyDescent="0.2">
      <c r="A33" s="328" t="s">
        <v>1434</v>
      </c>
      <c r="B33" s="328"/>
      <c r="C33" s="1285">
        <v>684</v>
      </c>
      <c r="D33" s="1903"/>
      <c r="E33" s="1283"/>
    </row>
    <row r="34" spans="1:6" ht="13.5" customHeight="1" x14ac:dyDescent="0.2">
      <c r="A34" s="328" t="s">
        <v>1836</v>
      </c>
      <c r="B34" s="328"/>
      <c r="C34" s="1286">
        <v>0</v>
      </c>
      <c r="D34" s="1903" t="s">
        <v>1589</v>
      </c>
      <c r="E34" s="2450">
        <f>+C33+C34</f>
        <v>684</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2118</v>
      </c>
      <c r="D38" s="1903"/>
      <c r="E38" s="1283"/>
    </row>
    <row r="39" spans="1:6" ht="14.25" customHeight="1" x14ac:dyDescent="0.2">
      <c r="A39" s="328"/>
      <c r="B39" s="328" t="s">
        <v>1436</v>
      </c>
      <c r="C39" s="1289" t="s">
        <v>2118</v>
      </c>
      <c r="D39" s="1903"/>
      <c r="E39" s="1283"/>
    </row>
    <row r="40" spans="1:6" ht="14.25" customHeight="1" x14ac:dyDescent="0.2">
      <c r="A40" s="328"/>
      <c r="B40" s="328" t="s">
        <v>1437</v>
      </c>
      <c r="C40" s="1289" t="s">
        <v>2118</v>
      </c>
      <c r="D40" s="1903"/>
      <c r="E40" s="1283"/>
    </row>
    <row r="41" spans="1:6" ht="14.25" customHeight="1" x14ac:dyDescent="0.2">
      <c r="A41" s="328"/>
      <c r="B41" s="328" t="s">
        <v>1438</v>
      </c>
      <c r="C41" s="1289" t="s">
        <v>2118</v>
      </c>
      <c r="D41" s="1903"/>
      <c r="E41" s="1283"/>
    </row>
    <row r="42" spans="1:6" ht="14.25" customHeight="1" x14ac:dyDescent="0.2">
      <c r="A42" s="328" t="s">
        <v>1439</v>
      </c>
      <c r="B42" s="328"/>
      <c r="C42" s="1901" t="s">
        <v>2118</v>
      </c>
      <c r="D42" s="1903"/>
      <c r="E42" s="1283"/>
    </row>
    <row r="43" spans="1:6" ht="14.25" customHeight="1" x14ac:dyDescent="0.2">
      <c r="A43" s="328" t="s">
        <v>1440</v>
      </c>
      <c r="B43" s="328"/>
      <c r="C43" s="1290" t="s">
        <v>2118</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Iroquois Special Education</v>
      </c>
      <c r="C1" s="2458"/>
      <c r="D1" s="2458"/>
      <c r="E1" s="2458"/>
      <c r="F1" s="2458"/>
      <c r="G1" s="2458"/>
      <c r="H1" s="2458"/>
      <c r="I1" s="2458"/>
      <c r="J1" s="1406"/>
    </row>
    <row r="2" spans="2:10" s="317" customFormat="1" ht="12.75" customHeight="1" x14ac:dyDescent="0.2">
      <c r="B2" s="2459">
        <f>'Single Audit Cover'!E7</f>
        <v>32038801060</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t="s">
        <v>2119</v>
      </c>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2115</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2115</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2115</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2115</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2115</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t="s">
        <v>2120</v>
      </c>
      <c r="E29" s="2464"/>
      <c r="F29" s="2464"/>
      <c r="G29" s="2464"/>
      <c r="H29" s="2464"/>
      <c r="I29" s="2464"/>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2115</v>
      </c>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65" t="s">
        <v>1749</v>
      </c>
      <c r="D37" s="2466"/>
      <c r="E37" s="2466"/>
      <c r="F37" s="2467"/>
      <c r="G37" s="2465" t="s">
        <v>1592</v>
      </c>
      <c r="H37" s="2466"/>
      <c r="I37" s="2467"/>
    </row>
    <row r="38" spans="2:9" ht="16.5" customHeight="1" x14ac:dyDescent="0.2">
      <c r="B38" s="1428" t="s">
        <v>2121</v>
      </c>
      <c r="C38" s="2453" t="s">
        <v>2122</v>
      </c>
      <c r="D38" s="2454"/>
      <c r="E38" s="2454"/>
      <c r="F38" s="2455"/>
      <c r="G38" s="2468">
        <v>954984</v>
      </c>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1593</v>
      </c>
      <c r="D43" s="2472"/>
      <c r="E43" s="2472"/>
      <c r="F43" s="2473"/>
      <c r="G43" s="2474">
        <f>SUM(G38:I42)</f>
        <v>954984</v>
      </c>
      <c r="H43" s="2474"/>
      <c r="I43" s="2474"/>
    </row>
    <row r="44" spans="2:9" ht="12.75" customHeight="1" x14ac:dyDescent="0.2"/>
    <row r="45" spans="2:9" ht="12.75" customHeight="1" x14ac:dyDescent="0.2">
      <c r="B45" s="1419" t="s">
        <v>2060</v>
      </c>
      <c r="D45" s="2475">
        <v>1019589</v>
      </c>
      <c r="E45" s="2476"/>
    </row>
    <row r="46" spans="2:9" ht="5.25" customHeight="1" x14ac:dyDescent="0.2">
      <c r="B46" s="1429"/>
      <c r="D46" s="1430"/>
      <c r="E46" s="1431"/>
    </row>
    <row r="47" spans="2:9" ht="12.75" customHeight="1" x14ac:dyDescent="0.2">
      <c r="B47" s="1297" t="s">
        <v>1594</v>
      </c>
      <c r="C47" s="1297"/>
      <c r="D47" s="1432">
        <f>+G43/D45</f>
        <v>0.93663623283499531</v>
      </c>
      <c r="E47" s="1433"/>
      <c r="F47" s="1434"/>
      <c r="I47" s="1435"/>
    </row>
    <row r="48" spans="2:9" ht="9.9499999999999993" customHeight="1" x14ac:dyDescent="0.2"/>
    <row r="49" spans="1:9" x14ac:dyDescent="0.2">
      <c r="B49" s="1365" t="s">
        <v>1273</v>
      </c>
      <c r="C49" s="1279"/>
      <c r="D49" s="1279"/>
      <c r="E49" s="2477">
        <v>750000</v>
      </c>
      <c r="F49" s="2477"/>
      <c r="G49" s="2477"/>
      <c r="H49" s="322"/>
    </row>
    <row r="51" spans="1:9" ht="13.5" customHeight="1" x14ac:dyDescent="0.2">
      <c r="B51" s="1365" t="s">
        <v>1272</v>
      </c>
      <c r="C51" s="1279"/>
      <c r="E51" s="1422"/>
      <c r="F51" s="1297" t="s">
        <v>885</v>
      </c>
      <c r="G51" s="1422" t="s">
        <v>2115</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7"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Iroquois Special Education</v>
      </c>
      <c r="C1" s="2457"/>
      <c r="D1" s="2457"/>
      <c r="E1" s="2457"/>
      <c r="F1" s="2457"/>
      <c r="G1" s="2457"/>
      <c r="H1" s="2457"/>
      <c r="I1" s="2457"/>
      <c r="J1" s="2457"/>
      <c r="K1" s="2457"/>
      <c r="L1" s="1371"/>
      <c r="M1" s="1371"/>
    </row>
    <row r="2" spans="1:13" ht="12" customHeight="1" x14ac:dyDescent="0.2">
      <c r="B2" s="2459">
        <f>'Single Audit Cover'!E7</f>
        <v>32038801060</v>
      </c>
      <c r="C2" s="2459"/>
      <c r="D2" s="2459"/>
      <c r="E2" s="2459"/>
      <c r="F2" s="2459"/>
      <c r="G2" s="2459"/>
      <c r="H2" s="2459"/>
      <c r="I2" s="2459"/>
      <c r="J2" s="2459"/>
      <c r="K2" s="2459"/>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1987</v>
      </c>
      <c r="D10" s="1383">
        <v>1</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t="s">
        <v>2117</v>
      </c>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Iroquois Special Education</v>
      </c>
      <c r="C1" s="2484"/>
      <c r="D1" s="2484"/>
      <c r="E1" s="2484"/>
      <c r="F1" s="2484"/>
      <c r="G1" s="2484"/>
      <c r="H1" s="2484"/>
      <c r="I1" s="2484"/>
      <c r="J1" s="2484"/>
      <c r="K1" s="2484"/>
      <c r="L1" s="1449"/>
    </row>
    <row r="2" spans="1:12" ht="12.75" customHeight="1" x14ac:dyDescent="0.2">
      <c r="B2" s="2485">
        <f>'Single Audit Cover'!E7</f>
        <v>32038801060</v>
      </c>
      <c r="C2" s="2485"/>
      <c r="D2" s="2485"/>
      <c r="E2" s="2485"/>
      <c r="F2" s="2485"/>
      <c r="G2" s="2485"/>
      <c r="H2" s="2485"/>
      <c r="I2" s="2485"/>
      <c r="J2" s="2485"/>
      <c r="K2" s="2485"/>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1987</v>
      </c>
      <c r="D8" s="1452">
        <v>1</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7"/>
      <c r="E14" s="2487"/>
      <c r="F14" s="2487"/>
      <c r="H14" s="1459" t="s">
        <v>1303</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8"/>
      <c r="E16" s="2488"/>
      <c r="F16" s="2488"/>
      <c r="G16" s="2488"/>
      <c r="H16" s="2488"/>
      <c r="I16" s="2488"/>
      <c r="J16" s="2488"/>
      <c r="K16" s="2488"/>
      <c r="L16" s="322"/>
    </row>
    <row r="17" spans="2:12" ht="13.5" customHeight="1" x14ac:dyDescent="0.2">
      <c r="B17" s="1384" t="s">
        <v>1301</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t="s">
        <v>2117</v>
      </c>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Iroquois Special Education</v>
      </c>
      <c r="C1" s="2457"/>
      <c r="D1" s="2457"/>
      <c r="E1" s="1469"/>
    </row>
    <row r="2" spans="2:5" s="1279" customFormat="1" ht="12.75" customHeight="1" x14ac:dyDescent="0.2">
      <c r="B2" s="2459">
        <f>'Single Audit Cover'!E7</f>
        <v>32038801060</v>
      </c>
      <c r="C2" s="2459"/>
      <c r="D2" s="2459"/>
      <c r="E2" s="1470"/>
    </row>
    <row r="3" spans="2:5" ht="12.75" customHeight="1" x14ac:dyDescent="0.2">
      <c r="B3" s="2480" t="s">
        <v>1764</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t="s">
        <v>2117</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http://purl.org/dc/elements/1.1/"/>
    <ds:schemaRef ds:uri="http://schemas.openxmlformats.org/package/2006/metadata/core-properties"/>
    <ds:schemaRef ds:uri="http://schemas.microsoft.com/office/2006/metadata/properties"/>
    <ds:schemaRef ds:uri="http://schemas.microsoft.com/sharepoint/v3"/>
    <ds:schemaRef ds:uri="http://purl.org/dc/dcmitype/"/>
    <ds:schemaRef ds:uri="http://purl.org/dc/terms/"/>
    <ds:schemaRef ds:uri="http://schemas.microsoft.com/office/infopath/2007/PartnerControls"/>
    <ds:schemaRef ds:uri="http://schemas.microsoft.com/office/2006/documentManagement/types"/>
    <ds:schemaRef ds:uri="d21dc803-237d-4c68-8692-8d731fd29118"/>
    <ds:schemaRef ds:uri="6ce3111e-7420-4802-b50a-75d4e9a0b980"/>
    <ds:schemaRef ds:uri="http://www.w3.org/XML/1998/namespace"/>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(2)</vt:lpstr>
      <vt:lpstr> SEFA</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2019-10-28T12:40:07Z</cp:lastPrinted>
  <dcterms:created xsi:type="dcterms:W3CDTF">2003-10-29T19:06:34Z</dcterms:created>
  <dcterms:modified xsi:type="dcterms:W3CDTF">2019-12-23T21:22:56Z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