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B2031" i="106"/>
  <c r="D203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<sst xmlns="http://schemas.openxmlformats.org/spreadsheetml/2006/main" count="5046" uniqueCount="2081">
  <si>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</si>
  <si>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</si>
  <si>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</si>
  <si>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</si>
  <si>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</si>
  <si>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</si>
  <si>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</si>
  <si>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</si>
  <si>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</si>
  <si>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</si>
  <si>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</si>
  <si>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</si>
  <si>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</si>
  <si>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</si>
  <si>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</si>
  <si>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</si>
  <si>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</si>
  <si>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</si>
  <si>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</si>
  <si>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</si>
  <si>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</si>
  <si>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</si>
  <si>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</si>
  <si>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</si>
  <si>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</si>
  <si>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</si>
  <si>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</si>
  <si>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</si>
  <si>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</si>
  <si>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</si>
  <si>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</si>
  <si>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</si>
  <si>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</si>
  <si>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</si>
  <si>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</si>
  <si>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</si>
  <si>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</si>
  <si>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</si>
  <si>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</si>
  <si>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</si>
  <si>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</si>
  <si>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</si>
  <si>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</si>
  <si>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</si>
  <si>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</si>
  <si>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</si>
  <si>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</si>
  <si>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</si>
  <si>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</si>
  <si>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</si>
  <si>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</si>
  <si>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</si>
  <si>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</si>
  <si>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</si>
  <si>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</si>
  <si>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</si>
  <si>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</si>
  <si>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</si>
  <si>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</si>
  <si>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</si>
  <si>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</si>
  <si>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</si>
  <si>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</si>
  <si>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</si>
  <si>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</si>
  <si>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</si>
  <si>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</si>
  <si>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</si>
  <si>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</si>
  <si>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</si>
  <si>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</si>
  <si>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</si>
  <si>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</si>
  <si>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</si>
  <si>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</si>
  <si>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</si>
  <si>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</si>
  <si>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</si>
  <si>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</si>
  <si>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</si>
  <si>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</si>
  <si>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</si>
  <si>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</si>
  <si>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</si>
  <si>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</si>
  <si>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</si>
  <si>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</si>
  <si>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</si>
  <si>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</si>
  <si>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</si>
  <si>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</si>
  <si>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</si>
  <si>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</si>
  <si>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</si>
  <si>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</si>
  <si>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</si>
  <si>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</si>
  <si>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</si>
  <si>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</si>
  <si>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</si>
  <si>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</si>
  <si>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</si>
  <si>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</si>
  <si>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</si>
  <si>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</si>
  <si>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</si>
  <si>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</si>
  <si>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</si>
  <si>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</si>
  <si>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</si>
  <si>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</si>
  <si>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</si>
  <si>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</si>
  <si>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</si>
  <si>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</si>
  <si>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</si>
  <si>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</si>
  <si>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</si>
  <si>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</si>
  <si>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</si>
  <si>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</si>
  <si>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</si>
  <si>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</si>
  <si>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</si>
  <si>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</si>
  <si>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</si>
  <si>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</si>
  <si>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</si>
  <si>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</si>
  <si>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</si>
  <si>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</si>
  <si>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</si>
  <si>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</si>
  <si>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</si>
  <si>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</si>
  <si>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</si>
  <si>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</si>
  <si>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</si>
  <si>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</si>
  <si>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</si>
  <si>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</si>
  <si>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</si>
  <si>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</si>
  <si>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</si>
  <si>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</si>
  <si>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</si>
  <si>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</si>
  <si>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</si>
  <si>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</si>
  <si>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</si>
  <si>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</si>
  <si>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</si>
  <si>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</si>
  <si>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</si>
  <si>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</si>
  <si>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</si>
  <si>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</si>
  <si>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</si>
  <si>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</si>
  <si>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</si>
  <si>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</si>
  <si>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</si>
  <si>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</si>
  <si>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</si>
  <si>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</si>
  <si>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</si>
  <si>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</si>
  <si>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</si>
  <si>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</si>
  <si>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</si>
  <si>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</si>
  <si>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</si>
  <si>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</si>
  <si>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</si>
  <si>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</si>
  <si>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</si>
  <si>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</si>
  <si>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</si>
  <si>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</si>
  <si>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</si>
  <si>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</si>
  <si>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</si>
  <si>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</si>
  <si>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</si>
  <si>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</si>
  <si>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</si>
  <si>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</si>
  <si>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</si>
  <si>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</si>
  <si>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</si>
  <si>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</si>
  <si>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</si>
  <si>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</si>
  <si>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</si>
  <si>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</si>
  <si>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</si>
  <si>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</si>
  <si>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</si>
  <si>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</si>
  <si>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</si>
  <si>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</si>
  <si>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</si>
  <si>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</si>
  <si>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</si>
  <si>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</si>
  <si>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</si>
  <si>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</si>
  <si>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</si>
  <si>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</si>
  <si>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</si>
  <si>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</si>
  <si>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</si>
  <si>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</si>
  <si>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</si>
  <si>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</si>
  <si>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</si>
  <si>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</si>
  <si>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</si>
  <si>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</si>
  <si>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</si>
  <si>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</si>
  <si>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</si>
  <si>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</si>
  <si>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</si>
  <si>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</si>
  <si>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</si>
  <si>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</si>
  <si>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</si>
  <si>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</si>
  <si>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</si>
  <si>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</si>
  <si>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</si>
  <si>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</si>
  <si>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</si>
  <si>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</si>
  <si>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</si>
  <si>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</si>
  <si>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</si>
  <si>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</si>
  <si>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</si>
  <si>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</si>
  <si>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</si>
  <si>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</si>
  <si>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</si>
  <si>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</si>
  <si>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</si>
  <si>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</si>
  <si>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</si>
  <si>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</si>
  <si>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</si>
  <si>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</si>
  <si>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</si>
  <si>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</si>
  <si>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</si>
  <si>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</si>
  <si>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</si>
  <si>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</si>
  <si>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</si>
  <si>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</si>
  <si>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</si>
  <si>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</si>
  <si>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</si>
  <si>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</si>
  <si>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</si>
  <si>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</si>
  <si>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</si>
  <si>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</si>
  <si>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</si>
  <si>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</si>
  <si>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</si>
  <si>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</si>
  <si>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</si>
  <si>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</si>
  <si>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</si>
  <si>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</si>
  <si>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</si>
  <si>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</si>
  <si>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</si>
  <si>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</si>
  <si>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</si>
  <si>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</si>
  <si>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</si>
  <si>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</si>
  <si>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</si>
  <si>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</si>
  <si>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</si>
  <si>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</si>
  <si>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</si>
  <si>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</si>
  <si>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</si>
  <si>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</si>
  <si>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</si>
  <si>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</si>
  <si>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</si>
  <si>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</si>
  <si>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</si>
  <si>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</si>
  <si>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</si>
  <si>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</si>
  <si>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</si>
  <si>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</si>
  <si>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</si>
  <si>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</si>
  <si>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</si>
  <si>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</si>
  <si>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</si>
  <si>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</si>
  <si>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</si>
  <si>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</si>
  <si>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</si>
  <si>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</si>
  <si>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</si>
  <si>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</si>
  <si>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</si>
  <si>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</si>
  <si>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</si>
  <si>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</si>
  <si>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</si>
  <si>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</si>
  <si>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</si>
  <si>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</si>
  <si>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</si>
  <si>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</si>
  <si>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</si>
  <si>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</si>
  <si>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</si>
  <si>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</si>
  <si>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</si>
  <si>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</si>
  <si>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</si>
  <si>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</si>
  <si>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</si>
  <si>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</si>
  <si>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</si>
  <si>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</si>
  <si>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</si>
  <si>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</si>
  <si>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</si>
  <si>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</si>
  <si>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</si>
  <si>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</si>
  <si>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</si>
  <si>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</si>
  <si>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</si>
  <si>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</si>
  <si>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</si>
  <si>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</si>
  <si>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</si>
  <si>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</si>
  <si>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</si>
  <si>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</si>
  <si>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</si>
  <si>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</si>
  <si>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</si>
  <si>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</si>
  <si>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</si>
  <si>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</si>
  <si>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</si>
  <si>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</si>
  <si>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</si>
  <si>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</si>
  <si>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</si>
  <si>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</si>
  <si>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</si>
  <si>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</si>
  <si>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</si>
  <si>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</si>
  <si>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</si>
  <si>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</si>
  <si>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</si>
  <si>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</si>
  <si>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</si>
  <si>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</si>
  <si>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</si>
  <si>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</si>
  <si>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</si>
  <si>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</si>
  <si>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</si>
  <si>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</si>
  <si>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</si>
  <si>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</si>
  <si>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</si>
  <si>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</si>
  <si>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</si>
  <si>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</si>
  <si>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</si>
  <si>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</si>
  <si>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</si>
  <si>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</si>
  <si>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</si>
  <si>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</si>
  <si>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</si>
  <si>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</si>
  <si>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</si>
  <si>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</si>
  <si>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</si>
  <si>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</si>
  <si>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</si>
  <si>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</si>
  <si>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</si>
  <si>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</si>
  <si>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</si>
  <si>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</si>
  <si>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</si>
  <si>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</si>
  <si>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</si>
  <si>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</si>
  <si>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</si>
  <si>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</si>
  <si>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</si>
  <si>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</si>
  <si>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</si>
  <si>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</si>
  <si>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</si>
  <si>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</si>
  <si>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</si>
  <si>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</si>
  <si>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</si>
  <si>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</si>
  <si>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</si>
  <si>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</si>
  <si>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</si>
  <si>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</si>
  <si>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</si>
  <si>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</si>
  <si>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</si>
  <si>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</si>
  <si>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</si>
  <si>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</si>
  <si>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</si>
  <si>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</si>
  <si>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</si>
  <si>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</si>
  <si>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</si>
  <si>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</si>
  <si>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</si>
  <si>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</si>
  <si>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</si>
  <si>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</si>
  <si>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</si>
  <si>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</si>
  <si>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</si>
  <si>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</si>
  <si>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</si>
  <si>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</si>
  <si>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</si>
  <si>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</si>
  <si>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</si>
  <si>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</si>
  <si>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</si>
  <si>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</si>
  <si>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</si>
  <si>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</si>
  <si>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</si>
  <si>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</si>
  <si>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</si>
  <si>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</si>
  <si>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</si>
  <si>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</si>
  <si>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</si>
  <si>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</si>
  <si>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</si>
  <si>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</si>
  <si>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</si>
  <si>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</si>
  <si>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</si>
  <si>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</si>
  <si>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</si>
  <si>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</si>
  <si>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</si>
  <si>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</si>
  <si>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</si>
  <si>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</si>
  <si>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</si>
  <si>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</si>
  <si>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</si>
  <si>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</si>
  <si>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</si>
  <si>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</si>
  <si>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</si>
  <si>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</si>
  <si>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</si>
  <si>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</si>
  <si>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</si>
  <si>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</si>
  <si>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</si>
  <si>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</si>
  <si>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</si>
  <si>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</si>
  <si>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</si>
  <si>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</si>
  <si>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</si>
  <si>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</si>
  <si>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</si>
  <si>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</si>
  <si>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</si>
  <si>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</si>
  <si>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</si>
  <si>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</si>
  <si>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</si>
  <si>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</si>
  <si>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</si>
  <si>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</si>
  <si>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</si>
  <si>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</si>
  <si>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</si>
  <si>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</si>
  <si>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</si>
  <si>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</si>
  <si>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</si>
  <si>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</si>
  <si>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</si>
  <si>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</si>
  <si>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</si>
  <si>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</si>
  <si>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</si>
  <si>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</si>
  <si>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</si>
  <si>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</si>
  <si>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</si>
  <si>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</si>
  <si>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</si>
  <si>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</si>
  <si>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</si>
  <si>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</si>
  <si>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</si>
  <si>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</si>
  <si>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</si>
  <si>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</si>
  <si>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</si>
  <si>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</si>
  <si>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</si>
  <si>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</si>
  <si>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</si>
  <si>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</si>
  <si>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</si>
  <si>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</si>
  <si>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</si>
  <si>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</si>
  <si>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</si>
  <si>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</si>
  <si>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</si>
  <si>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</si>
  <si>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</si>
  <si>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</si>
  <si>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</si>
  <si>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</si>
  <si>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</si>
  <si>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</si>
  <si>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</si>
  <si>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</si>
  <si>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</si>
  <si>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</si>
  <si>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</si>
  <si>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</si>
  <si>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</si>
  <si>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</si>
  <si>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</si>
  <si>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</si>
  <si>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</si>
  <si>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</si>
  <si>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</si>
  <si>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</si>
  <si>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</si>
  <si>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</si>
  <si>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</si>
  <si>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</si>
  <si>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</si>
  <si>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</si>
  <si>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</si>
  <si>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</si>
  <si>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</si>
  <si>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</si>
  <si>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</si>
  <si>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</si>
  <si>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</si>
  <si>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</si>
  <si>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</si>
  <si>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</si>
  <si>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</si>
  <si>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</si>
  <si>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</si>
  <si>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</si>
  <si>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</si>
  <si>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</si>
  <si>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</si>
  <si>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</si>
  <si>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</si>
  <si>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</si>
  <si>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</si>
  <si>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</si>
  <si>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</si>
  <si>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</si>
  <si>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</si>
  <si>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</si>
  <si>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</si>
  <si>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</si>
  <si>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</si>
  <si>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</si>
  <si>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</si>
  <si>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</si>
  <si>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</si>
  <si>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</si>
  <si>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</si>
  <si>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</si>
  <si>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</si>
  <si>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</si>
  <si>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</si>
  <si>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</si>
  <si>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</si>
  <si>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</si>
  <si>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</si>
  <si>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</si>
  <si>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</si>
  <si>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</si>
  <si>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</si>
  <si>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</si>
  <si>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</si>
  <si>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</si>
  <si>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</si>
  <si>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</si>
  <si>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</si>
  <si>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</si>
  <si>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</si>
  <si>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</si>
  <si>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</si>
  <si>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</si>
  <si>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</si>
  <si>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</si>
  <si>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</si>
  <si>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</si>
  <si>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</si>
  <si>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</si>
  <si>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</si>
  <si>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</si>
  <si>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</si>
  <si>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</si>
  <si>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</si>
  <si>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</si>
  <si>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</si>
  <si>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</si>
  <si>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</si>
  <si>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</si>
  <si>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</si>
  <si>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</si>
  <si>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</si>
  <si>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</si>
  <si>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</si>
  <si>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</si>
  <si>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</si>
  <si>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</si>
  <si>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</si>
  <si>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</si>
  <si>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</si>
  <si>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</si>
  <si>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</si>
  <si>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</si>
  <si>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</si>
  <si>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</si>
  <si>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</si>
  <si>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</si>
  <si>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</si>
  <si>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</si>
  <si>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</si>
  <si>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</si>
  <si>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</si>
  <si>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</si>
  <si>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</si>
  <si>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</si>
  <si>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</si>
  <si>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</si>
  <si>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</si>
  <si>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</si>
  <si>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</si>
  <si>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</si>
  <si>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</si>
  <si>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</si>
  <si>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</si>
  <si>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</si>
  <si>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</si>
  <si>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</si>
  <si>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</si>
  <si>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</si>
  <si>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</si>
  <si>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</si>
  <si>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</si>
  <si>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</si>
  <si>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</si>
  <si>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</si>
  <si>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</si>
  <si>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</si>
  <si>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</si>
  <si>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</si>
  <si>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</si>
  <si>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</si>
  <si>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</si>
  <si>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</si>
  <si>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</si>
  <si>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</si>
  <si>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</si>
  <si>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</si>
  <si>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</si>
  <si>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</si>
  <si>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</si>
  <si>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</si>
  <si>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</si>
  <si>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</si>
  <si>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</si>
  <si>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</si>
  <si>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</si>
  <si>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</si>
  <si>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</si>
  <si>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</si>
  <si>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</si>
  <si>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</si>
  <si>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</si>
  <si>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</si>
  <si>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</si>
  <si>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</si>
  <si>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</si>
  <si>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</si>
  <si>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</si>
  <si>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</si>
  <si>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</si>
  <si>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</si>
  <si>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</si>
  <si>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</si>
  <si>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</si>
  <si>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</si>
  <si>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</si>
  <si>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</si>
  <si>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</si>
  <si>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</si>
  <si>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</si>
  <si>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</si>
  <si>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</si>
  <si>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</si>
  <si>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</si>
  <si>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</si>
  <si>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</si>
  <si>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</si>
  <si>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</si>
  <si>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</si>
  <si>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</si>
  <si>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</si>
  <si>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</si>
  <si>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</si>
  <si>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</si>
  <si>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</si>
  <si>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</si>
  <si>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</si>
  <si>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</si>
  <si>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</si>
  <si>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</si>
  <si>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</si>
  <si>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</si>
  <si>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</si>
  <si>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</si>
  <si>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</si>
  <si>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</si>
  <si>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</si>
  <si>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</si>
  <si>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</si>
  <si>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</si>
  <si>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</si>
  <si>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</si>
  <si>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</si>
  <si>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</si>
  <si>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</si>
  <si>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</si>
  <si>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</si>
  <si>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</si>
  <si>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</si>
  <si>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</si>
  <si>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</si>
  <si>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</si>
  <si>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</si>
  <si>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</si>
  <si>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</si>
  <si>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</si>
  <si>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</si>
  <si>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</si>
  <si>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</si>
  <si>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</si>
  <si>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</si>
  <si>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</si>
  <si>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</si>
  <si>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</si>
  <si>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</si>
  <si>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</si>
  <si>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</si>
  <si>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</si>
  <si>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</si>
  <si>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</si>
  <si>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</si>
  <si>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</si>
  <si>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</si>
  <si>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</si>
  <si>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</si>
  <si>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</si>
  <si>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</si>
  <si>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</si>
  <si>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</si>
  <si>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</si>
  <si>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</si>
  <si>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</si>
  <si>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</si>
  <si>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</si>
  <si>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</si>
  <si>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</si>
  <si>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</si>
  <si>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</si>
  <si>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</si>
  <si>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</si>
  <si>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</si>
  <si>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</si>
  <si>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</si>
  <si>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</si>
  <si>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</si>
  <si>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</si>
  <si>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</si>
  <si>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</si>
  <si>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</si>
  <si>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</si>
  <si>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</si>
  <si>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</si>
  <si>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</si>
  <si>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</si>
  <si>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</si>
  <si>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</si>
  <si>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</si>
  <si>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</si>
  <si>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</si>
  <si>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</si>
  <si>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</si>
  <si>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</si>
  <si>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</si>
  <si>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</si>
  <si>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</si>
  <si>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</si>
  <si>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</si>
  <si>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</si>
  <si>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</si>
  <si>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</si>
  <si>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</si>
  <si>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</si>
  <si>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</si>
  <si>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</si>
  <si>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</si>
  <si>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</si>
  <si>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</si>
  <si>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</si>
  <si>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</si>
  <si>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</si>
  <si>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</si>
  <si>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</si>
  <si>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</si>
  <si>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</si>
  <si>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</si>
  <si>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</si>
  <si>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</si>
  <si>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</si>
  <si>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</si>
  <si>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</si>
  <si>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</si>
  <si>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</si>
  <si>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</si>
  <si>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</si>
  <si>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</si>
  <si>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</si>
  <si>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</si>
  <si>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</si>
  <si>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</si>
  <si>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</si>
  <si>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</si>
  <si>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</si>
  <si>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</si>
  <si>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</si>
  <si>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</si>
  <si>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</si>
  <si>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</si>
  <si>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</si>
  <si>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</si>
  <si>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</si>
  <si>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</si>
  <si>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</si>
  <si>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</si>
  <si>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</si>
  <si>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</si>
  <si>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</si>
  <si>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</si>
  <si>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</si>
  <si>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</si>
  <si>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</si>
  <si>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</si>
  <si>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</si>
  <si>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</si>
  <si>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</si>
  <si>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</si>
  <si>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</si>
  <si>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</si>
  <si>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</si>
  <si>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</si>
  <si>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</si>
  <si>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</si>
  <si>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</si>
  <si>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</si>
  <si>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</si>
  <si>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</si>
  <si>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</si>
  <si>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</si>
  <si>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</si>
  <si>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</si>
  <si>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</si>
  <si>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</si>
  <si>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</si>
  <si>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</si>
  <si>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</si>
  <si>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</si>
  <si>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</si>
  <si>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</si>
  <si>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</si>
  <si>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</si>
  <si>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</si>
  <si>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</si>
  <si>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</si>
  <si>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</si>
  <si>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</si>
  <si>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</si>
  <si>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</si>
  <si>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</si>
  <si>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</si>
  <si>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</si>
  <si>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</si>
  <si>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</si>
  <si>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</si>
  <si>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</si>
  <si>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</si>
  <si>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</si>
  <si>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</si>
  <si>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</si>
  <si>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</si>
  <si>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</si>
  <si>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</si>
  <si>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</si>
  <si>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</si>
  <si>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</si>
  <si>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</si>
  <si>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</si>
  <si>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</si>
  <si>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</si>
  <si>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</si>
  <si>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</si>
  <si>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</si>
  <si>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</si>
  <si>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</si>
  <si>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</si>
  <si>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</si>
  <si>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</si>
  <si>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</si>
  <si>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</si>
  <si>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</si>
  <si>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</si>
  <si>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</si>
  <si>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</si>
  <si>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</si>
  <si>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</si>
  <si>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</si>
  <si>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</si>
  <si>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</si>
  <si>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</si>
  <si>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</si>
  <si>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</si>
  <si>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</si>
  <si>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</si>
  <si>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</si>
  <si>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</si>
  <si>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</si>
  <si>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</si>
  <si>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</si>
  <si>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</si>
  <si>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</si>
  <si>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</si>
  <si>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</si>
  <si>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</si>
  <si>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</si>
  <si>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</si>
  <si>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</si>
  <si>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</si>
  <si>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</si>
  <si>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</si>
  <si>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</si>
  <si>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</si>
  <si>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</si>
  <si>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</si>
  <si>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</si>
  <si>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</si>
  <si>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</si>
  <si>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</si>
  <si>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</si>
  <si>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</si>
  <si>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</si>
  <si>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</si>
  <si>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</si>
  <si>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</si>
  <si>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</si>
  <si>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</si>
  <si>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</si>
  <si>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</si>
  <si>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</si>
  <si>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</si>
  <si>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</si>
  <si>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</si>
  <si>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</si>
  <si>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</si>
  <si>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</si>
  <si>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</si>
  <si>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</si>
  <si>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</si>
  <si>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</si>
  <si>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</si>
  <si>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</si>
  <si>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</si>
  <si>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</si>
  <si>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</si>
  <si>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</si>
  <si>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</si>
  <si>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</si>
  <si>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</si>
  <si>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</si>
  <si>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</si>
  <si>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</si>
  <si>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</si>
  <si>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</si>
  <si>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</si>
  <si>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</si>
  <si>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</si>
  <si>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</si>
  <si>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</si>
  <si>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</si>
  <si>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</si>
  <si>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</si>
  <si>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</si>
  <si>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</si>
  <si>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</si>
  <si>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</si>
  <si>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</si>
  <si>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</si>
  <si>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</si>
  <si>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</si>
  <si>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</si>
  <si>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</si>
  <si>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</si>
  <si>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</si>
  <si>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</si>
  <si>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</si>
  <si>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</si>
  <si>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</si>
  <si>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</si>
  <si>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</si>
  <si>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</si>
  <si>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</si>
  <si>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</si>
  <si>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</si>
  <si>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</si>
  <si>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</si>
  <si>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</si>
  <si>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</si>
  <si>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</si>
  <si>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</si>
  <si>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</si>
  <si>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</si>
  <si>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</si>
  <si>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</si>
  <si>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</si>
  <si>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</si>
  <si>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</si>
  <si>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</si>
  <si>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</si>
  <si>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</si>
  <si>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</si>
  <si>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</si>
  <si>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</si>
  <si>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</si>
  <si>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</si>
  <si>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</si>
  <si>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</si>
  <si>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</si>
  <si>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</si>
  <si>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</si>
  <si>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</si>
  <si>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</si>
  <si>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</si>
  <si>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</si>
  <si>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</si>
  <si>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</si>
  <si>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</si>
  <si>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</si>
  <si>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</si>
  <si>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</si>
  <si>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</si>
  <si>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</si>
  <si>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</si>
  <si>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</si>
  <si>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</si>
  <si>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</si>
  <si>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</si>
  <si>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</si>
  <si>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</si>
  <si>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</si>
  <si>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</si>
  <si>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</si>
  <si>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</si>
  <si>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</si>
  <si>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</si>
  <si>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</si>
  <si>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</si>
  <si>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</si>
  <si>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</si>
  <si>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</si>
  <si>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</si>
  <si>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</si>
  <si>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</si>
  <si>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</si>
  <si>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</si>
  <si>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</si>
  <si>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</si>
  <si>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</si>
  <si>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</si>
  <si>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</si>
  <si>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</si>
  <si>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</si>
  <si>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</si>
  <si>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</si>
  <si>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</si>
  <si>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</si>
  <si>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</si>
  <si>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</si>
  <si>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</si>
  <si>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</si>
  <si>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</si>
  <si>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</si>
  <si>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</si>
  <si>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</si>
  <si>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</si>
  <si>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</si>
  <si>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</si>
  <si>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</si>
  <si>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</si>
  <si>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</si>
  <si>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</si>
  <si>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</si>
  <si>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</si>
  <si>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</si>
  <si>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</si>
  <si>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</si>
  <si>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</si>
  <si>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</si>
  <si>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</si>
  <si>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</si>
  <si>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</si>
  <si>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</si>
  <si>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</si>
  <si>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</si>
  <si>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</si>
  <si>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</si>
  <si>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</si>
  <si>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</si>
  <si>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</si>
  <si>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</si>
  <si>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</si>
  <si>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</si>
  <si>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</si>
  <si>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</si>
  <si>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</si>
  <si>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</si>
  <si>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</si>
  <si>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</si>
  <si>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</si>
  <si>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</si>
  <si>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</si>
  <si>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</si>
  <si>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</si>
  <si>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</si>
  <si>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</si>
  <si>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</si>
  <si>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</si>
  <si>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</si>
  <si>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</si>
  <si>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</si>
  <si>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</si>
  <si>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</si>
  <si>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</si>
  <si>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</si>
  <si>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</si>
  <si>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</si>
  <si>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</si>
  <si>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</si>
  <si>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</si>
  <si>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</si>
  <si>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</si>
  <si>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</si>
  <si>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</si>
  <si>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</si>
  <si>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</si>
  <si>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</si>
  <si>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</si>
  <si>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</si>
  <si>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</si>
  <si>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</si>
  <si>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</si>
  <si>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</si>
  <si>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</si>
  <si>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</si>
  <si>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</si>
  <si>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</si>
  <si>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</si>
  <si>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</si>
  <si>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</si>
  <si>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</si>
  <si>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</si>
  <si>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</si>
  <si>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</si>
  <si>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</si>
  <si>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</si>
  <si>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</si>
  <si>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</si>
  <si>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</si>
  <si>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</si>
  <si>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</si>
  <si>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</si>
  <si>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</si>
  <si>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</si>
  <si>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</si>
  <si>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</si>
  <si>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</si>
  <si>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</si>
  <si>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</si>
  <si>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</si>
  <si>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</si>
  <si>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</si>
  <si>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</si>
  <si>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</si>
  <si>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</si>
  <si>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</si>
  <si>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</si>
  <si>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</si>
  <si>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</si>
  <si>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</si>
  <si>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</si>
  <si>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</si>
  <si>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</si>
  <si>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</si>
  <si>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</si>
  <si>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</si>
  <si>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</si>
  <si>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</si>
  <si>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</si>
  <si>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</si>
  <si>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</si>
  <si>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</si>
  <si>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</si>
  <si>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</si>
  <si>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</si>
  <si>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</si>
  <si>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</si>
  <si>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</si>
  <si>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</si>
  <si>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</si>
  <si>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</si>
  <si>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</si>
  <si>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</si>
  <si>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</si>
  <si>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</si>
  <si>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</si>
  <si>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</si>
  <si>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</si>
  <si>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</si>
  <si>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</si>
  <si>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</si>
  <si>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</si>
  <si>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</si>
  <si>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</si>
  <si>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</si>
  <si>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</si>
  <si>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</si>
  <si>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</si>
  <si>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</si>
  <si>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</si>
  <si>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</si>
  <si>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</si>
  <si>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</si>
  <si>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</si>
  <si>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</si>
  <si>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</si>
  <si>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</si>
  <si>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</si>
  <si>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</si>
  <si>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</si>
  <si>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</si>
  <si>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</si>
  <si>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</si>
  <si>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</si>
  <si>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</si>
  <si>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</si>
  <si>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</si>
  <si>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</si>
  <si>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</si>
  <si>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</si>
  <si>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</si>
  <si>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</si>
  <si>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</si>
  <si>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</si>
  <si>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</si>
  <si>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</si>
  <si>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</si>
  <si>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</si>
  <si>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</si>
  <si>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</si>
  <si>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</si>
  <si>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</si>
  <si>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</si>
  <si>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</si>
  <si>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</si>
  <si>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</si>
  <si>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</si>
  <si>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</si>
  <si>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</si>
  <si>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</si>
  <si>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</si>
  <si>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</si>
  <si>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</si>
  <si>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</si>
  <si>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</si>
  <si>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</si>
  <si>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</si>
  <si>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</si>
  <si>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</si>
  <si>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</si>
  <si>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</si>
  <si>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</si>
  <si>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</si>
  <si>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</si>
  <si>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</si>
  <si>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</si>
  <si>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</si>
  <si>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</si>
  <si>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</si>
  <si>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</si>
  <si>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</si>
  <si>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</si>
  <si>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</si>
  <si>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</si>
  <si>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</si>
  <si>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</si>
  <si>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</si>
  <si>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</si>
  <si>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</si>
  <si>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</si>
  <si>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</si>
  <si>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</si>
  <si>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</si>
  <si>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</si>
  <si>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</si>
  <si>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</si>
  <si>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</si>
  <si>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</si>
  <si>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</si>
  <si>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</si>
  <si>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</si>
  <si>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</si>
  <si>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</si>
  <si>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</si>
  <si>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</si>
  <si>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</si>
  <si>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</si>
  <si>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</si>
  <si>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</si>
  <si>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</si>
  <si>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</si>
  <si>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</si>
  <si>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</si>
  <si>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</si>
  <si>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</si>
  <si>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</si>
  <si>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</si>
  <si>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</si>
  <si>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</si>
  <si>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</si>
  <si>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</si>
  <si>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</si>
  <si>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</si>
  <si>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</si>
  <si>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</si>
  <si>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</si>
  <si>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</si>
  <si>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</si>
  <si>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</si>
  <si>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</si>
  <si>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</si>
  <si>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</si>
  <si>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</si>
  <si>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</si>
  <si>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</si>
  <si>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</si>
  <si>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</si>
  <si>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</si>
  <si>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</si>
  <si>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</si>
  <si>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</si>
  <si>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</si>
  <si>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</si>
  <si>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</si>
  <si>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</si>
  <si>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</si>
  <si>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</si>
  <si>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</si>
  <si>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</si>
  <si>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</si>
  <si>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</si>
  <si>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</si>
  <si>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</si>
  <si>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</si>
  <si>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</si>
  <si>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</si>
  <si>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</si>
  <si>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</si>
  <si>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</si>
  <si>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</si>
  <si>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</si>
  <si>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</si>
  <si>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</si>
  <si>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</si>
  <si>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</si>
  <si>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</si>
  <si>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</si>
  <si>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</si>
  <si>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</si>
  <si>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</si>
  <si>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</si>
  <si>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</si>
  <si>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</si>
  <si>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</si>
  <si>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</si>
  <si>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</si>
  <si>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</si>
  <si>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</si>
  <si>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</si>
  <si>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</si>
  <si>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</si>
  <si>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</si>
  <si>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</si>
  <si>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</si>
  <si>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</si>
  <si>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</si>
  <si>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</si>
  <si>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</si>
  <si>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</si>
  <si>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</si>
  <si>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</si>
  <si>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</si>
  <si>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</si>
  <si>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</si>
  <si>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</si>
  <si>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</si>
  <si>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</si>
  <si>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</si>
  <si>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</si>
  <si>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</si>
  <si>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</si>
  <si>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</si>
  <si>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</si>
  <si>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</si>
  <si>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</si>
  <si>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</si>
  <si>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</si>
  <si>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</si>
  <si>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</si>
  <si>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</si>
  <si>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</si>
  <si>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</si>
  <si>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</si>
  <si>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</si>
  <si>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</si>
  <si>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</si>
  <si>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</si>
  <si>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</si>
  <si>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</si>
  <si>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</si>
  <si>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</si>
  <si>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</si>
  <si>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</si>
  <si>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</si>
  <si>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</si>
  <si>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</si>
  <si>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</si>
  <si>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</si>
  <si>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</si>
  <si>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</si>
  <si>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</si>
  <si>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</si>
  <si>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</si>
  <si>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</si>
  <si>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</si>
  <si>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</si>
  <si>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</si>
  <si>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</si>
  <si>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</si>
  <si>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</si>
  <si>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</si>
  <si>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</si>
  <si>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</si>
  <si>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</si>
  <si>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</si>
  <si>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</si>
  <si>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</si>
  <si>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</si>
  <si>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</si>
  <si>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</si>
  <si>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</si>
  <si>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</si>
  <si>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</si>
  <si>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</si>
  <si>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</si>
  <si>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</si>
  <si>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</si>
  <si>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</si>
  <si>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</si>
  <si>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</si>
  <si>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</si>
  <si>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</si>
  <si>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</si>
  <si>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</si>
  <si>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</si>
  <si>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</si>
  <si>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</si>
  <si>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</si>
  <si>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</si>
  <si>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</si>
  <si>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</si>
  <si>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</si>
  <si>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</si>
  <si>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</si>
  <si>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</si>
  <si>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</si>
  <si>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</si>
  <si>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</si>
  <si>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</si>
  <si>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</si>
  <si>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</si>
  <si>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</si>
  <si>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</si>
  <si>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</si>
  <si>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</si>
  <si>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</si>
  <si>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</si>
  <si>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</si>
  <si>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</si>
  <si>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</si>
  <si>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</si>
  <si>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</si>
  <si>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</si>
  <si>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</si>
  <si>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</si>
  <si>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</si>
  <si>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</si>
  <si>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</si>
  <si>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</si>
  <si>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</si>
  <si>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</si>
  <si>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</si>
  <si>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</si>
  <si>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</si>
  <si>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</si>
  <si>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</si>
  <si>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</si>
  <si>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</si>
  <si>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</si>
  <si>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</si>
  <si>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</si>
  <si>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</si>
  <si>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</si>
  <si>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</si>
  <si>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</si>
  <si>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</si>
  <si>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</si>
  <si>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</si>
  <si>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</si>
  <si>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</si>
  <si>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</si>
  <si>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</si>
  <si>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</si>
  <si>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</si>
  <si>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</si>
  <si>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</si>
  <si>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</si>
  <si>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</si>
  <si>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</si>
  <si>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</si>
  <si>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</si>
  <si>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</si>
  <si>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</si>
  <si>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</si>
  <si>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</si>
  <si>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</si>
  <si>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</si>
  <si>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</si>
  <si>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</si>
  <si>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</si>
  <si>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</si>
  <si>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</si>
  <si>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</si>
  <si>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</si>
  <si>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</si>
  <si>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</si>
  <si>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</si>
  <si>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</si>
  <si>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</si>
  <si>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</si>
  <si>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</si>
  <si>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</si>
  <si>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</si>
  <si>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</si>
  <si>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</si>
  <si>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</si>
  <si>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</si>
  <si>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</si>
  <si>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</si>
  <si>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</si>
  <si>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</si>
  <si>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</si>
  <si>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</si>
  <si>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</si>
  <si>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</si>
  <si>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</si>
  <si>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</si>
  <si>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</si>
  <si>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</si>
  <si>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</si>
  <si>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</si>
  <si>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</si>
  <si>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</si>
  <si>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</si>
  <si>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</si>
  <si>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</si>
  <si>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</si>
  <si>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</si>
  <si>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</si>
  <si>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</si>
  <si>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</si>
  <si>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</si>
  <si>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</si>
  <si>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</si>
  <si>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</si>
  <si>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</si>
  <si>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</si>
  <si>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</si>
  <si>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</si>
  <si>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</si>
  <si>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</si>
  <si>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</si>
  <si>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</si>
  <si>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</si>
  <si>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</si>
  <si>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</si>
  <si>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</si>
  <si>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</si>
  <si>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</si>
  <si>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</si>
  <si>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</si>
  <si>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</si>
  <si>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</si>
  <si>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</si>
  <si>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</si>
  <si>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</si>
  <si>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</si>
  <si>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</si>
  <si>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</si>
  <si>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</si>
  <si>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</si>
  <si>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</si>
  <si>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</si>
  <si>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</si>
  <si>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</si>
  <si>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</si>
  <si>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</si>
  <si>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</si>
  <si>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</si>
  <si>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</si>
  <si>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</si>
  <si>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</si>
  <si>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</si>
  <si>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</si>
  <si>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</si>
  <si>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</si>
  <si>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</si>
  <si>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</si>
  <si>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</si>
  <si>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</si>
  <si>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</si>
  <si>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</si>
  <si>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</si>
  <si>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</si>
  <si>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</si>
  <si>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</si>
  <si>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</si>
  <si>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</si>
  <si>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</si>
  <si>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</si>
  <si>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</si>
  <si>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</si>
  <si>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</si>
  <si>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</si>
  <si>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</si>
  <si>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</si>
  <si>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</si>
  <si>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</si>
  <si>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</si>
  <si>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</si>
  <si>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</si>
  <si>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</si>
  <si>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</si>
  <si>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</si>
  <si>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</si>
  <si>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</si>
  <si>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</si>
  <si>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</si>
  <si>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</si>
  <si>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</si>
  <si>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</si>
  <si>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</si>
  <si>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</si>
  <si>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</si>
  <si>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</si>
  <si>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</si>
  <si>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</si>
  <si>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</si>
  <si>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</si>
  <si>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</si>
  <si>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</si>
  <si>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</si>
  <si>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</si>
  <si>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</si>
  <si>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</si>
  <si>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</si>
  <si>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</si>
  <si>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</si>
  <si>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</si>
  <si>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</si>
  <si>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</si>
  <si>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</si>
  <si>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</si>
  <si>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</si>
  <si>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</si>
  <si>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</si>
  <si>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</si>
  <si>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</si>
  <si>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</si>
  <si>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</si>
  <si>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</si>
  <si>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</si>
  <si>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</si>
  <si>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</si>
  <si>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</si>
  <si>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</si>
  <si>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</si>
  <si>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</si>
  <si>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</si>
  <si>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</si>
  <si>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</si>
  <si>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</si>
  <si>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</si>
  <si>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</si>
  <si>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</si>
  <si>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</si>
  <si>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</si>
  <si>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</si>
  <si>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</si>
  <si>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</si>
  <si>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</si>
  <si>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</si>
  <si>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</si>
  <si>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</si>
  <si>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</si>
  <si>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</si>
  <si>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</si>
  <si>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</si>
  <si>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</si>
  <si>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</si>
  <si>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</si>
  <si>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</si>
  <si>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</si>
  <si>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</si>
  <si>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</si>
  <si>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</si>
  <si>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</si>
  <si>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</si>
  <si>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</si>
  <si>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</si>
  <si>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</si>
  <si>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</si>
  <si>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</si>
  <si>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</si>
  <si>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</si>
  <si>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</si>
  <si>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</si>
  <si>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</si>
  <si>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</si>
  <si>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</si>
  <si>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</si>
  <si>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</si>
  <si>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</si>
  <si>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</si>
  <si>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</si>
  <si>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</si>
  <si>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</si>
  <si>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</si>
  <si>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</si>
  <si>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</si>
  <si>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</si>
  <si>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</si>
  <si>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</si>
  <si>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</si>
  <si>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</si>
  <si>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</si>
  <si>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</si>
  <si>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</si>
  <si>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</si>
  <si>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</si>
  <si>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</si>
  <si>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</si>
  <si>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</si>
  <si>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</si>
  <si>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</si>
  <si>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</si>
  <si>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</si>
  <si>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</si>
  <si>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</si>
  <si>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</si>
  <si>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</si>
  <si>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</si>
  <si>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</si>
  <si>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</si>
  <si>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</si>
  <si>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</si>
  <si>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</si>
  <si>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</si>
  <si>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</si>
  <si>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</si>
  <si>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</si>
  <si>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</si>
  <si>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</si>
  <si>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</si>
  <si>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</si>
  <si>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</si>
  <si>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</si>
  <si>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</si>
  <si>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</si>
  <si>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</si>
  <si>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</si>
  <si>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</si>
  <si>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</si>
  <si>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</si>
  <si>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</si>
  <si>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</si>
  <si>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</si>
  <si>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</si>
  <si>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</si>
  <si>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</si>
  <si>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</si>
  <si>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</si>
  <si>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</si>
  <si>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</si>
  <si>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</si>
  <si>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</si>
  <si>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</si>
  <si>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</si>
  <si>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</si>
  <si>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</si>
  <si>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</si>
  <si>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</si>
  <si>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</si>
  <si>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</si>
  <si>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</si>
  <si>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</si>
  <si>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</si>
  <si>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</si>
  <si>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</si>
  <si>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</si>
  <si>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</si>
  <si>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</si>
  <si>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</si>
  <si>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</si>
  <si>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</si>
  <si>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</si>
  <si>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</si>
  <si>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</si>
  <si>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</si>
  <si>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</si>
  <si>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</si>
  <si>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</si>
  <si>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</si>
  <si>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</si>
  <si>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</si>
  <si>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</si>
  <si>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</si>
  <si>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</si>
  <si>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</si>
  <si>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</si>
  <si>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</si>
  <si>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</si>
  <si>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</si>
  <si>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</si>
  <si>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</si>
  <si>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</si>
  <si>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</si>
  <si>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</si>
  <si>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</si>
  <si>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</si>
  <si>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</si>
  <si>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</si>
  <si>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</si>
  <si>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</si>
  <si>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</si>
  <si>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</si>
  <si>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</si>
  <si>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</si>
  <si>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</si>
  <si>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</si>
  <si>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</si>
  <si>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</si>
  <si>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</si>
  <si>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</si>
  <si>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</si>
  <si>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</si>
  <si>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</si>
  <si>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</si>
  <si>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</si>
  <si>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</si>
  <si>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</si>
  <si>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</si>
  <si>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</si>
  <si>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</si>
  <si>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</si>
  <si>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</si>
  <si>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</si>
  <si>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</si>
  <si>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</si>
  <si>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</si>
  <si>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</si>
  <si>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</si>
  <si>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</si>
  <si>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</si>
  <si>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</si>
  <si>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</si>
  <si>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</si>
  <si>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</si>
  <si>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</si>
  <si>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</si>
  <si>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</si>
  <si>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</si>
  <si>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</si>
  <si>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</si>
  <si>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</si>
  <si>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</si>
  <si>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</si>
  <si>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</si>
  <si>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</si>
  <si>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</si>
  <si>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</si>
  <si>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</si>
  <si>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</si>
  <si>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</si>
  <si>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</si>
  <si>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</si>
  <si>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</si>
  <si>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</si>
  <si>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</si>
  <si>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</si>
  <si>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</si>
  <si>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</si>
  <si>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</si>
  <si>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</si>
  <si>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</si>
  <si>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</si>
  <si>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</si>
  <si>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</si>
  <si>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</si>
  <si>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</si>
  <si>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</si>
  <si>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</si>
  <si>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</si>
  <si>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</si>
  <si>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</si>
  <si>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</si>
  <si>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</si>
  <si>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</si>
  <si>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</si>
  <si>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</si>
  <si>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</si>
  <si>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</si>
  <si>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</si>
  <si>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</si>
  <si>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</si>
  <si>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</si>
  <si>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</si>
  <si>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</si>
  <si>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</si>
  <si>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</si>
  <si>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</si>
  <si>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</si>
  <si>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</si>
  <si>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</si>
  <si>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</si>
  <si>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</si>
  <si>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</si>
  <si>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</si>
  <si>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</si>
  <si>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</si>
  <si>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</si>
  <si>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</si>
  <si>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</si>
  <si>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</si>
  <si>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</si>
  <si>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</si>
  <si>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</si>
  <si>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</si>
  <si>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</si>
  <si>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</si>
  <si>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</si>
  <si>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</si>
  <si>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</si>
  <si>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</si>
  <si>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</si>
  <si>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</si>
  <si>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</si>
  <si>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</si>
  <si>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</si>
  <si>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</si>
  <si>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</si>
  <si>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</si>
  <si>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</si>
  <si>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</si>
  <si>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</si>
  <si>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</si>
  <si>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</si>
  <si>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</si>
  <si>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</si>
  <si>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</si>
  <si>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</si>
  <si>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</si>
  <si>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</si>
  <si>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</si>
  <si>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</si>
  <si>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</si>
  <si>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</si>
  <si>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</si>
  <si>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</si>
  <si>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</si>
  <si>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</si>
  <si>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</si>
  <si>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</si>
  <si>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</si>
  <si>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</si>
  <si>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</si>
  <si>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</si>
  <si>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</si>
  <si>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</si>
  <si>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</si>
  <si>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</si>
  <si>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</si>
  <si>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</si>
  <si>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</si>
  <si>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</si>
  <si>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</si>
  <si>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</si>
  <si>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IROQUOIS</t>
  </si>
  <si>
    <t>1001 E GRANT ST</t>
  </si>
  <si>
    <t>WATSEKA</t>
  </si>
  <si>
    <t>No applicable contracts paid in current year.</t>
  </si>
  <si>
    <t>Iroquois Area Reg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</si>
</sst>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F0941B6-3197-451A-9EC3-C857F9C2D0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c r="C5" s="26" t="s">
        <v>910</v>
      </c>
      <c r="D5" s="84"/>
      <c r="E5" s="84"/>
      <c r="H5" s="38"/>
      <c r="I5" s="1994" t="s">
        <v>680</v>
      </c>
      <c r="J5" s="1993"/>
      <c r="K5" s="1993"/>
      <c r="L5" s="1993"/>
      <c r="M5" s="1993"/>
      <c r="N5" s="1993"/>
      <c r="O5" s="1993"/>
      <c r="P5" s="1993"/>
      <c r="Q5" s="1993"/>
      <c r="R5" s="1993"/>
      <c r="S5" s="1993"/>
    </row>
    <row r="6" spans="1:28" ht="14.1" customHeight="1" x14ac:dyDescent="0.2">
      <c r="B6" s="104" t="s">
        <v>2073</v>
      </c>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32000000047</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2076</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2080</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2077</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2078</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t="str">
        <f>IF(B5="x",IF(AUDITCHECK!D29="AFR form Incomplete.","",IF(AUDITCHECK!D29="Deficit reduction plan is required.","School District must complete a deficit reduction plan in the 2019-2020 Budget",)),"")</f>
        <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60970</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c r="B42" s="1962"/>
      <c r="C42" s="1963"/>
      <c r="D42" s="1961"/>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179455</v>
      </c>
      <c r="E16" s="356"/>
      <c r="F16" s="1733">
        <f>SUM('Acct Summary 7-8'!C17,'Acct Summary 7-8'!D17,'Acct Summary 7-8'!F17)</f>
        <v>173468</v>
      </c>
      <c r="G16" s="356"/>
      <c r="H16" s="1733">
        <f>SUM(D16-F16)</f>
        <v>5987</v>
      </c>
      <c r="I16" s="222"/>
      <c r="J16" s="1733">
        <f>SUM('Acct Summary 7-8'!C81,'Acct Summary 7-8'!D81,'Acct Summary 7-8'!F81,'Acct Summary 7-8'!I81)</f>
        <v>69969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Iroquois Area Reg Del System</v>
      </c>
      <c r="E7" s="391"/>
      <c r="G7" s="252"/>
      <c r="H7" s="387"/>
      <c r="I7" s="387"/>
      <c r="J7" s="387"/>
      <c r="K7" s="387"/>
      <c r="L7" s="329"/>
      <c r="M7" s="329"/>
      <c r="N7" s="329"/>
      <c r="O7" s="329"/>
      <c r="P7" s="329"/>
    </row>
    <row r="8" spans="1:18" ht="12.75" x14ac:dyDescent="0.2">
      <c r="A8" s="329"/>
      <c r="B8" s="329"/>
      <c r="C8" s="389" t="s">
        <v>1125</v>
      </c>
      <c r="D8" s="392">
        <f>COVER!A13</f>
        <v>32000000047</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69969</v>
      </c>
      <c r="I12" s="404"/>
      <c r="J12" s="404"/>
      <c r="K12" s="405">
        <f>TRUNC((H12/H13*100000),5)/100000</f>
        <v>0.38989718869999995</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179455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173468</v>
      </c>
      <c r="I17" s="404"/>
      <c r="J17" s="416"/>
      <c r="K17" s="405">
        <f>TRUNC((H17/H18*100000),5)/100000</f>
        <v>0.96663787570000004</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179455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69969</v>
      </c>
      <c r="I24" s="422"/>
      <c r="J24" s="422"/>
      <c r="K24" s="423">
        <f>TRUNC(((H24/H25*100000)/100000),2)</f>
        <v>145.19999999999999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481.85556000000003</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69969</v>
      </c>
      <c r="D4" s="466"/>
      <c r="E4" s="466"/>
      <c r="F4" s="466"/>
      <c r="G4" s="466"/>
      <c r="H4" s="466"/>
      <c r="I4" s="466"/>
      <c r="J4" s="467"/>
      <c r="K4" s="466"/>
      <c r="L4" s="466">
        <v>687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69969</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687</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494296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494296</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687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687</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69969</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494296</v>
      </c>
      <c r="N40" s="497"/>
    </row>
    <row r="41" spans="1:14" ht="13.5" customHeight="1" thickBot="1" x14ac:dyDescent="0.25">
      <c r="A41" s="1736" t="s">
        <v>655</v>
      </c>
      <c r="B41" s="1706"/>
      <c r="C41" s="1688">
        <f>(SUM(C34,C37,C38,C39))</f>
        <v>69969</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687</v>
      </c>
      <c r="M41" s="1688">
        <f>SUM(M40)</f>
        <v>494296</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2</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140718</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38735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179455</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179455</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52596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75076</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45796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173468</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173468</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5987</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5987</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63982</v>
      </c>
      <c r="D79" s="535"/>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69969</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5987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8.5566465148851634E-2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05" activePane="bottomLeft" state="frozen"/>
      <selection pane="bottomLeft" activeCell="C135" sqref="C13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140718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140718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140718</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140718</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38735</v>
      </c>
      <c r="D220" s="466"/>
      <c r="E220" s="468"/>
      <c r="F220" s="468"/>
      <c r="G220" s="466"/>
      <c r="H220" s="468"/>
      <c r="I220" s="468"/>
      <c r="J220" s="468"/>
      <c r="K220" s="468"/>
    </row>
    <row r="221" spans="1:11" ht="12.75" customHeight="1" thickBot="1" x14ac:dyDescent="0.25">
      <c r="A221" s="1723" t="s">
        <v>1085</v>
      </c>
      <c r="B221" s="1724"/>
      <c r="C221" s="1707">
        <f>SUM(C219:C220)</f>
        <v>38735</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38735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38735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179455</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7"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3233</v>
      </c>
      <c r="F13" s="466">
        <v>27420</v>
      </c>
      <c r="G13" s="466">
        <v>21943</v>
      </c>
      <c r="H13" s="466"/>
      <c r="I13" s="467"/>
      <c r="J13" s="467"/>
      <c r="K13" s="1671">
        <f t="shared" si="0"/>
        <v>52596</v>
      </c>
      <c r="L13" s="466">
        <v>46044</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3233</v>
      </c>
      <c r="F33" s="1670">
        <f t="shared" si="1"/>
        <v>27420</v>
      </c>
      <c r="G33" s="1670">
        <f t="shared" si="1"/>
        <v>21943</v>
      </c>
      <c r="H33" s="1670">
        <f t="shared" si="1"/>
        <v>0</v>
      </c>
      <c r="I33" s="1670">
        <f t="shared" si="1"/>
        <v>0</v>
      </c>
      <c r="J33" s="1670">
        <f t="shared" si="1"/>
        <v>0</v>
      </c>
      <c r="K33" s="1670">
        <f t="shared" si="1"/>
        <v>52596</v>
      </c>
      <c r="L33" s="1670">
        <f t="shared" si="1"/>
        <v>46044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v>372</v>
      </c>
      <c r="E37" s="466">
        <v>1136</v>
      </c>
      <c r="F37" s="466"/>
      <c r="G37" s="466"/>
      <c r="H37" s="466"/>
      <c r="I37" s="467"/>
      <c r="J37" s="467"/>
      <c r="K37" s="1671">
        <f t="shared" si="2"/>
        <v>1508</v>
      </c>
      <c r="L37" s="466">
        <v>4248</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372</v>
      </c>
      <c r="E42" s="1670">
        <f t="shared" si="3"/>
        <v>1136</v>
      </c>
      <c r="F42" s="1670">
        <f t="shared" si="3"/>
        <v>0</v>
      </c>
      <c r="G42" s="1670">
        <f t="shared" si="3"/>
        <v>0</v>
      </c>
      <c r="H42" s="1670">
        <f t="shared" si="3"/>
        <v>0</v>
      </c>
      <c r="I42" s="1670">
        <f t="shared" si="3"/>
        <v>0</v>
      </c>
      <c r="J42" s="1670">
        <f t="shared" si="3"/>
        <v>0</v>
      </c>
      <c r="K42" s="1670">
        <f t="shared" si="3"/>
        <v>1508</v>
      </c>
      <c r="L42" s="1670">
        <f t="shared" si="3"/>
        <v>4248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12750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12750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50271</v>
      </c>
      <c r="D50" s="466">
        <v>729</v>
      </c>
      <c r="E50" s="466">
        <v>8727</v>
      </c>
      <c r="F50" s="466">
        <v>1191</v>
      </c>
      <c r="G50" s="466"/>
      <c r="H50" s="466">
        <v>150</v>
      </c>
      <c r="I50" s="467"/>
      <c r="J50" s="467"/>
      <c r="K50" s="1672">
        <f>SUM(C50:J50)</f>
        <v>61068</v>
      </c>
      <c r="L50" s="466">
        <v>48121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50271</v>
      </c>
      <c r="D53" s="1670">
        <f t="shared" ref="D53:L53" si="5">SUM(D49:D52)</f>
        <v>729</v>
      </c>
      <c r="E53" s="1670">
        <f t="shared" si="5"/>
        <v>8727</v>
      </c>
      <c r="F53" s="1670">
        <f t="shared" si="5"/>
        <v>1191</v>
      </c>
      <c r="G53" s="1670">
        <f t="shared" si="5"/>
        <v>0</v>
      </c>
      <c r="H53" s="1670">
        <f t="shared" si="5"/>
        <v>150</v>
      </c>
      <c r="I53" s="1670">
        <f t="shared" si="5"/>
        <v>0</v>
      </c>
      <c r="J53" s="1670">
        <f t="shared" si="5"/>
        <v>0</v>
      </c>
      <c r="K53" s="1670">
        <f t="shared" si="5"/>
        <v>61068</v>
      </c>
      <c r="L53" s="1670">
        <f t="shared" si="5"/>
        <v>48121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12500</v>
      </c>
      <c r="D60" s="466"/>
      <c r="E60" s="466"/>
      <c r="F60" s="466"/>
      <c r="G60" s="466"/>
      <c r="H60" s="466"/>
      <c r="I60" s="467"/>
      <c r="J60" s="467"/>
      <c r="K60" s="1672">
        <f t="shared" si="7"/>
        <v>12500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12500</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12500</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62771</v>
      </c>
      <c r="D74" s="1677">
        <f t="shared" ref="D74:K74" si="10">SUM(D42,D47,D53,D57,D65,D72,D73)</f>
        <v>1101</v>
      </c>
      <c r="E74" s="1677">
        <f t="shared" si="10"/>
        <v>9863</v>
      </c>
      <c r="F74" s="1677">
        <f t="shared" si="10"/>
        <v>1191</v>
      </c>
      <c r="G74" s="1677">
        <f t="shared" si="10"/>
        <v>0</v>
      </c>
      <c r="H74" s="1677">
        <f t="shared" si="10"/>
        <v>150</v>
      </c>
      <c r="I74" s="1677">
        <f t="shared" si="10"/>
        <v>0</v>
      </c>
      <c r="J74" s="1677">
        <f t="shared" si="10"/>
        <v>0</v>
      </c>
      <c r="K74" s="1677">
        <f t="shared" si="10"/>
        <v>75076</v>
      </c>
      <c r="L74" s="1677">
        <f>SUM(L42,L47,L53,L57,L65,L72,L73)</f>
        <v>65119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13796</v>
      </c>
      <c r="F81" s="616"/>
      <c r="G81" s="616"/>
      <c r="H81" s="466">
        <v>32000</v>
      </c>
      <c r="I81" s="477"/>
      <c r="J81" s="477"/>
      <c r="K81" s="1671">
        <f t="shared" si="11"/>
        <v>45796</v>
      </c>
      <c r="L81" s="466">
        <v>55786</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13796</v>
      </c>
      <c r="F84" s="616"/>
      <c r="G84" s="616"/>
      <c r="H84" s="1670">
        <f>SUM(H78:H83)</f>
        <v>32000</v>
      </c>
      <c r="I84" s="477"/>
      <c r="J84" s="477"/>
      <c r="K84" s="1670">
        <f>SUM(K78:K83)</f>
        <v>45796</v>
      </c>
      <c r="L84" s="1670">
        <f>SUM(L78:L83)</f>
        <v>55786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13796</v>
      </c>
      <c r="F102" s="616"/>
      <c r="G102" s="616"/>
      <c r="H102" s="1677">
        <f>SUM(H84,H92,H100,H101)</f>
        <v>32000</v>
      </c>
      <c r="I102" s="477"/>
      <c r="J102" s="477"/>
      <c r="K102" s="1677">
        <f>SUM(K84,K92,K100,K101)</f>
        <v>45796</v>
      </c>
      <c r="L102" s="1677">
        <f>SUM(L84,L92,L100,L101)</f>
        <v>55786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62771</v>
      </c>
      <c r="D114" s="1670">
        <f t="shared" ref="D114:K114" si="13">SUM(D33,D74,D75,D102,D112,D113)</f>
        <v>1101</v>
      </c>
      <c r="E114" s="1670">
        <f t="shared" si="13"/>
        <v>26892</v>
      </c>
      <c r="F114" s="1670">
        <f t="shared" si="13"/>
        <v>28611</v>
      </c>
      <c r="G114" s="1670">
        <f t="shared" si="13"/>
        <v>21943</v>
      </c>
      <c r="H114" s="1670">
        <f>SUM(H33,H74,H75,H102,H112,H113)</f>
        <v>32150</v>
      </c>
      <c r="I114" s="1670">
        <f t="shared" si="13"/>
        <v>0</v>
      </c>
      <c r="J114" s="1670">
        <f t="shared" si="13"/>
        <v>0</v>
      </c>
      <c r="K114" s="1670">
        <f t="shared" si="13"/>
        <v>173468</v>
      </c>
      <c r="L114" s="1670">
        <f>SUM(L33,L74,L75,L102,L112,L113)</f>
        <v>166949</v>
      </c>
    </row>
    <row r="115" spans="1:14" ht="13.5" thickTop="1" x14ac:dyDescent="0.2">
      <c r="A115" s="2158" t="s">
        <v>996</v>
      </c>
      <c r="B115" s="2159"/>
      <c r="C115" s="618"/>
      <c r="D115" s="618"/>
      <c r="E115" s="618"/>
      <c r="F115" s="618"/>
      <c r="G115" s="618"/>
      <c r="H115" s="618"/>
      <c r="I115" s="618"/>
      <c r="J115" s="618"/>
      <c r="K115" s="1684">
        <f>'Revenues 9-14'!C268-'Expenditures 15-22'!K114</f>
        <v>5987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8" t="s">
        <v>1178</v>
      </c>
      <c r="B152" s="2179"/>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8" t="s">
        <v>996</v>
      </c>
      <c r="B175" s="215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8" t="s">
        <v>996</v>
      </c>
      <c r="B211" s="215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8" t="s">
        <v>996</v>
      </c>
      <c r="B296" s="2159"/>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1" t="s">
        <v>996</v>
      </c>
      <c r="B343" s="2172"/>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8" t="s">
        <v>996</v>
      </c>
      <c r="B368" s="2159"/>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0</v>
      </c>
      <c r="I12" s="1758">
        <f>SUM(I5:I11)</f>
        <v>0</v>
      </c>
      <c r="J12" s="1758">
        <f>SUM(J5:J11)</f>
        <v>0</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0</v>
      </c>
      <c r="I23" s="1758">
        <f>SUM(I14:I16,I21,I22)</f>
        <v>0</v>
      </c>
      <c r="J23" s="1758">
        <f>SUM(J14:J16,J21,J22)</f>
        <v>0</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472353</v>
      </c>
      <c r="D12" s="844">
        <v>21943</v>
      </c>
      <c r="E12" s="844"/>
      <c r="F12" s="1760">
        <f>(C12+D12)-E12</f>
        <v>494296</v>
      </c>
      <c r="G12" s="843">
        <v>10</v>
      </c>
      <c r="H12" s="765">
        <v>397717</v>
      </c>
      <c r="I12" s="765">
        <v>17528</v>
      </c>
      <c r="J12" s="765"/>
      <c r="K12" s="1769">
        <f>(H12+I12)-J12</f>
        <v>415245</v>
      </c>
      <c r="L12" s="1769">
        <f>F12-K12</f>
        <v>79051</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472353</v>
      </c>
      <c r="D16" s="1760">
        <f>SUM(D3,D5:D6,D8:D10,D12:D15)</f>
        <v>21943</v>
      </c>
      <c r="E16" s="1760">
        <f>SUM(E3,E5:E6,E8:E10,E12:E15)</f>
        <v>0</v>
      </c>
      <c r="F16" s="1760">
        <f>SUM(F3,F5:F6,F8:F10,F12:F15)</f>
        <v>494296</v>
      </c>
      <c r="G16" s="843"/>
      <c r="H16" s="1760">
        <f>SUM(H3,H6,H8:H10,H12:H14,)</f>
        <v>397717</v>
      </c>
      <c r="I16" s="1760">
        <f>SUM(I3,I6,I8:I10,I12:I14,)</f>
        <v>17528</v>
      </c>
      <c r="J16" s="1760">
        <f>SUM(J3,J6,J8:J10,J12:J14,)</f>
        <v>0</v>
      </c>
      <c r="K16" s="1760">
        <f>(H16+I16)-J16</f>
        <v>415245</v>
      </c>
      <c r="L16" s="1760">
        <f>F16-K16</f>
        <v>79051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17528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173468</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173468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45796</v>
      </c>
      <c r="G53" s="865"/>
    </row>
    <row r="54" spans="1:7" x14ac:dyDescent="0.2">
      <c r="A54" s="869" t="s">
        <v>459</v>
      </c>
      <c r="B54" s="869" t="s">
        <v>1476</v>
      </c>
      <c r="C54" s="889" t="s">
        <v>982</v>
      </c>
      <c r="D54" s="885" t="s">
        <v>1095</v>
      </c>
      <c r="E54" s="868"/>
      <c r="F54" s="1913">
        <f>'Expenditures 15-22'!G114</f>
        <v>21943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67739</v>
      </c>
      <c r="G76" s="865"/>
    </row>
    <row r="77" spans="1:8" s="893" customFormat="1" ht="12" customHeight="1" thickTop="1" thickBot="1" x14ac:dyDescent="0.25">
      <c r="A77" s="1779"/>
      <c r="B77" s="1776"/>
      <c r="C77" s="1772"/>
      <c r="D77" s="1777" t="s">
        <v>1899</v>
      </c>
      <c r="E77" s="1774"/>
      <c r="F77" s="1780">
        <f>(F14-F76)</f>
        <v>105729</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140718</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38735</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179453</v>
      </c>
    </row>
    <row r="175" spans="1:7" ht="12" customHeight="1" x14ac:dyDescent="0.2">
      <c r="A175" s="1770"/>
      <c r="B175" s="1784"/>
      <c r="C175" s="1785"/>
      <c r="D175" s="1786" t="s">
        <v>2055</v>
      </c>
      <c r="E175" s="1787"/>
      <c r="F175" s="1789">
        <f>'PCTC-OEPP 27-28'!F77-F174</f>
        <v>-73724</v>
      </c>
    </row>
    <row r="176" spans="1:7" ht="12" customHeight="1" x14ac:dyDescent="0.2">
      <c r="A176" s="1770"/>
      <c r="B176" s="1784"/>
      <c r="C176" s="1785"/>
      <c r="D176" s="1786" t="s">
        <v>1817</v>
      </c>
      <c r="E176" s="1787"/>
      <c r="F176" s="1789">
        <f>'Cap Outlay Deprec 26'!I18</f>
        <v>17528</v>
      </c>
    </row>
    <row r="177" spans="1:7" ht="12" customHeight="1" x14ac:dyDescent="0.2">
      <c r="A177" s="1770"/>
      <c r="B177" s="1784"/>
      <c r="C177" s="1785"/>
      <c r="D177" s="1786" t="s">
        <v>2056</v>
      </c>
      <c r="E177" s="1787"/>
      <c r="F177" s="1789">
        <f>F175+F176</f>
        <v>-56196</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2079</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30653</v>
      </c>
      <c r="F19" s="1799"/>
      <c r="G19" s="1801">
        <f>'Expenditures 15-22'!K33-SUM('Expenditures 15-22'!G33,'Expenditures 15-22'!I33)+'Expenditures 15-22'!D229</f>
        <v>30653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1508</v>
      </c>
      <c r="F21" s="1802"/>
      <c r="G21" s="1805">
        <f>'Expenditures 15-22'!K42-SUM('Expenditures 15-22'!G42,'Expenditures 15-22'!I42)+'Expenditures 15-22'!K120-SUM('Expenditures 15-22'!G120,'Expenditures 15-22'!I120)+'Expenditures 15-22'!K180-SUM('Expenditures 15-22'!G180,'Expenditures 15-22'!I180)+'Expenditures 15-22'!D238</f>
        <v>1508</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61068</v>
      </c>
      <c r="F23" s="1802"/>
      <c r="G23" s="1804">
        <f>'Expenditures 15-22'!K53-SUM('Expenditures 15-22'!G53,'Expenditures 15-22'!I53)+'Expenditures 15-22'!D257+'Expenditures 15-22'!K330-SUM('Expenditures 15-22'!G330,'Expenditures 15-22'!I330)</f>
        <v>61068</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12500</v>
      </c>
      <c r="E27" s="1804">
        <f>E8</f>
        <v>0</v>
      </c>
      <c r="F27" s="1804">
        <f>'Expenditures 15-22'!K60-SUM('Expenditures 15-22'!G60,'Expenditures 15-22'!I60)+'Expenditures 15-22'!D264-E8</f>
        <v>12500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12500</v>
      </c>
      <c r="E41" s="1806">
        <f>SUM(E19:E40)</f>
        <v>93229</v>
      </c>
      <c r="F41" s="1806">
        <f>SUM(F19:F39)</f>
        <v>12500</v>
      </c>
      <c r="G41" s="1806">
        <f>SUM(G19:G40)</f>
        <v>93229</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12500</v>
      </c>
      <c r="F43" s="1807" t="s">
        <v>473</v>
      </c>
      <c r="G43" s="1808">
        <f>F41</f>
        <v>12500</v>
      </c>
    </row>
    <row r="44" spans="1:7" ht="12" customHeight="1" x14ac:dyDescent="0.2">
      <c r="A44" s="987"/>
      <c r="B44" s="162"/>
      <c r="C44" s="1001"/>
      <c r="D44" s="1807" t="s">
        <v>474</v>
      </c>
      <c r="E44" s="1808">
        <f>E41</f>
        <v>93229</v>
      </c>
      <c r="F44" s="1807" t="s">
        <v>474</v>
      </c>
      <c r="G44" s="1808">
        <f>G41</f>
        <v>93229</v>
      </c>
    </row>
    <row r="45" spans="1:7" ht="12" customHeight="1" x14ac:dyDescent="0.2">
      <c r="A45" s="987"/>
      <c r="B45" s="162"/>
      <c r="C45" s="162"/>
      <c r="D45" s="1809" t="s">
        <v>1006</v>
      </c>
      <c r="E45" s="1810">
        <f>(E43/E44)</f>
        <v>0.13407845198382479</v>
      </c>
      <c r="F45" s="1809" t="s">
        <v>1006</v>
      </c>
      <c r="G45" s="1810">
        <f>(G43/G44)</f>
        <v>0.13407845198382479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Iroquois Area Reg Del System</v>
      </c>
      <c r="D6" s="2310"/>
      <c r="E6" s="2310"/>
      <c r="F6" s="1852"/>
    </row>
    <row r="7" spans="1:10" ht="11.25" customHeight="1" thickBot="1" x14ac:dyDescent="0.3">
      <c r="A7" s="1850"/>
      <c r="B7" s="1851"/>
      <c r="C7" s="2311">
        <f>COVER!A13</f>
        <v>32000000047</v>
      </c>
      <c r="D7" s="2311"/>
      <c r="E7" s="2311"/>
      <c r="F7" s="1852"/>
    </row>
    <row r="8" spans="1:10" ht="25.5" customHeight="1" thickBot="1" x14ac:dyDescent="0.25">
      <c r="A8" s="1893" t="s">
        <v>1907</v>
      </c>
      <c r="B8" s="1853" t="s">
        <v>2073</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Iroquois Area Reg Del System</v>
      </c>
      <c r="J6" s="2320"/>
      <c r="Q6" s="1664"/>
    </row>
    <row r="7" spans="1:17" x14ac:dyDescent="0.2">
      <c r="A7" s="2321" t="s">
        <v>869</v>
      </c>
      <c r="B7" s="2322"/>
      <c r="C7" s="2322"/>
      <c r="D7" s="2322"/>
      <c r="E7" s="2323"/>
      <c r="F7" s="1017"/>
      <c r="G7" s="1009"/>
      <c r="H7" s="1016" t="s">
        <v>372</v>
      </c>
      <c r="I7" s="2324">
        <f>COVER!A13</f>
        <v>32000000047</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61068</v>
      </c>
      <c r="F12" s="1039"/>
      <c r="G12" s="1811">
        <f t="shared" ref="G12:G18" si="0">SUM(E12:F12)</f>
        <v>61068</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61068</v>
      </c>
      <c r="F19" s="1813">
        <f t="shared" si="2"/>
        <v>0</v>
      </c>
      <c r="G19" s="1813">
        <f t="shared" si="2"/>
        <v>61068</v>
      </c>
      <c r="H19" s="1813">
        <f t="shared" si="2"/>
        <v>0</v>
      </c>
      <c r="I19" s="1813">
        <f t="shared" si="2"/>
        <v>0</v>
      </c>
      <c r="J19" s="1813">
        <f t="shared" si="2"/>
        <v>0</v>
      </c>
    </row>
    <row r="20" spans="1:10" ht="13.5" thickTop="1" x14ac:dyDescent="0.2">
      <c r="A20" s="1035">
        <v>9</v>
      </c>
      <c r="B20" s="2331" t="s">
        <v>1979</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Iroquois Area Reg Del System</v>
      </c>
    </row>
    <row r="65" spans="2:2" x14ac:dyDescent="0.2">
      <c r="B65" s="1070">
        <f>COVER!A13</f>
        <v>32000000047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179455</v>
      </c>
      <c r="C8" s="1815">
        <f>'Acct Summary 7-8'!D8</f>
        <v>0</v>
      </c>
      <c r="D8" s="1815">
        <f>'Acct Summary 7-8'!F8</f>
        <v>0</v>
      </c>
      <c r="E8" s="1815">
        <f>'Acct Summary 7-8'!I8</f>
        <v>0</v>
      </c>
      <c r="F8" s="1815">
        <f>SUM(B8:E8)</f>
        <v>179455</v>
      </c>
    </row>
    <row r="9" spans="1:8" s="1079" customFormat="1" ht="14.25" customHeight="1" thickBot="1" x14ac:dyDescent="0.25">
      <c r="A9" s="1078" t="s">
        <v>1369</v>
      </c>
      <c r="B9" s="1816">
        <f>'Acct Summary 7-8'!C17</f>
        <v>173468</v>
      </c>
      <c r="C9" s="1816">
        <f>'Acct Summary 7-8'!D17</f>
        <v>0</v>
      </c>
      <c r="D9" s="1816">
        <f>'Acct Summary 7-8'!F17</f>
        <v>0</v>
      </c>
      <c r="E9" s="1815"/>
      <c r="F9" s="1815">
        <f>SUM(B9:E9)</f>
        <v>173468</v>
      </c>
    </row>
    <row r="10" spans="1:8" s="1079" customFormat="1" ht="14.25" thickTop="1" thickBot="1" x14ac:dyDescent="0.25">
      <c r="A10" s="1080" t="s">
        <v>1370</v>
      </c>
      <c r="B10" s="1817">
        <f>(B8-B9)</f>
        <v>5987</v>
      </c>
      <c r="C10" s="1817">
        <f>(C8-C9)</f>
        <v>0</v>
      </c>
      <c r="D10" s="1817">
        <f>(D8-D9)</f>
        <v>0</v>
      </c>
      <c r="E10" s="1816">
        <f>(E8-E9)</f>
        <v>0</v>
      </c>
      <c r="F10" s="1818">
        <f>SUM(F8-F9)</f>
        <v>5987</v>
      </c>
    </row>
    <row r="11" spans="1:8" s="1079" customFormat="1" ht="14.25" thickTop="1" thickBot="1" x14ac:dyDescent="0.25">
      <c r="A11" s="1081" t="s">
        <v>1983</v>
      </c>
      <c r="B11" s="1819">
        <f>'Acct Summary 7-8'!C81</f>
        <v>69969</v>
      </c>
      <c r="C11" s="1819">
        <f>'Acct Summary 7-8'!D81</f>
        <v>0</v>
      </c>
      <c r="D11" s="1819">
        <f>'Acct Summary 7-8'!F81</f>
        <v>0</v>
      </c>
      <c r="E11" s="1819">
        <f>'Acct Summary 7-8'!I81</f>
        <v>0</v>
      </c>
      <c r="F11" s="1820">
        <f>SUM(B11:E11)</f>
        <v>69969</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32000000047</v>
      </c>
    </row>
    <row r="3" spans="1:2" x14ac:dyDescent="0.2">
      <c r="A3" t="s">
        <v>956</v>
      </c>
      <c r="B3" s="138" t="str">
        <f>COVER!A15</f>
        <v>IROQUOIS</v>
      </c>
    </row>
    <row r="4" spans="1:2" x14ac:dyDescent="0.2">
      <c r="A4" t="s">
        <v>1007</v>
      </c>
      <c r="B4" s="138" t="str">
        <f>COVER!A17</f>
        <v>Iroquois Area Reg Del System</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69969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69969</v>
      </c>
      <c r="D92" s="2" t="str">
        <f t="shared" si="0"/>
        <v>Error?</v>
      </c>
    </row>
    <row r="93" spans="1:4" x14ac:dyDescent="0.2">
      <c r="A93" s="5">
        <v>32</v>
      </c>
      <c r="B93" s="138">
        <f>'Assets-Liab 5-6'!C41</f>
        <v>69969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494296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494296</v>
      </c>
      <c r="C279" s="2" t="s">
        <v>573</v>
      </c>
      <c r="D279" s="2" t="str">
        <f t="shared" si="3"/>
        <v>Error?</v>
      </c>
    </row>
    <row r="280" spans="1:4" x14ac:dyDescent="0.2">
      <c r="A280" s="5">
        <v>219</v>
      </c>
      <c r="B280" s="138">
        <f>'Assets-Liab 5-6'!M40</f>
        <v>494296</v>
      </c>
      <c r="D280" s="2" t="str">
        <f t="shared" si="3"/>
        <v>Error?</v>
      </c>
    </row>
    <row r="281" spans="1:4" x14ac:dyDescent="0.2">
      <c r="A281" s="5">
        <v>220</v>
      </c>
      <c r="B281" s="138">
        <f>'Assets-Liab 5-6'!M41</f>
        <v>494296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50271</v>
      </c>
      <c r="D733" s="2" t="str">
        <f t="shared" si="10"/>
        <v>Error?</v>
      </c>
    </row>
    <row r="734" spans="1:4" x14ac:dyDescent="0.2">
      <c r="A734" s="5">
        <v>673</v>
      </c>
      <c r="B734" s="138">
        <f>'Expenditures 15-22'!C53</f>
        <v>50271</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12500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12500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62771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62771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372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729</v>
      </c>
      <c r="D791" s="2" t="str">
        <f t="shared" si="11"/>
        <v>Error?</v>
      </c>
    </row>
    <row r="792" spans="1:4" x14ac:dyDescent="0.2">
      <c r="A792" s="5">
        <v>731</v>
      </c>
      <c r="B792" s="138">
        <f>'Expenditures 15-22'!D53</f>
        <v>729</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1101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3233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3233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1136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1136</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8727</v>
      </c>
      <c r="D849" s="2" t="str">
        <f t="shared" si="12"/>
        <v>Error?</v>
      </c>
    </row>
    <row r="850" spans="1:4" x14ac:dyDescent="0.2">
      <c r="A850" s="5">
        <v>789</v>
      </c>
      <c r="B850" s="138">
        <f>'Expenditures 15-22'!E53</f>
        <v>8727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9863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26892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27420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27420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1191</v>
      </c>
      <c r="D907" s="2" t="str">
        <f t="shared" si="13"/>
        <v>Error?</v>
      </c>
    </row>
    <row r="908" spans="1:4" x14ac:dyDescent="0.2">
      <c r="A908" s="5">
        <v>847</v>
      </c>
      <c r="B908" s="138">
        <f>'Expenditures 15-22'!F53</f>
        <v>1191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1191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28611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21943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21943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21943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150</v>
      </c>
      <c r="D1023" s="2" t="str">
        <f t="shared" ref="D1023:D1086" si="15">IF(ISBLANK(B1023),"OK",IF(A1023-B1023=0,"OK","Error?"))</f>
        <v>Error?</v>
      </c>
    </row>
    <row r="1024" spans="1:4" x14ac:dyDescent="0.2">
      <c r="A1024" s="5">
        <v>963</v>
      </c>
      <c r="B1024" s="138">
        <f>'Expenditures 15-22'!H53</f>
        <v>150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32150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52596</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52596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1508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1508</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61068</v>
      </c>
      <c r="C1121" s="2" t="s">
        <v>573</v>
      </c>
      <c r="D1121" s="2" t="str">
        <f t="shared" si="16"/>
        <v>Error?</v>
      </c>
    </row>
    <row r="1122" spans="1:4" x14ac:dyDescent="0.2">
      <c r="A1122" s="5">
        <v>1061</v>
      </c>
      <c r="B1122" s="138">
        <f>'Expenditures 15-22'!K53</f>
        <v>61068</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12500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12500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75076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45796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173468</v>
      </c>
      <c r="C1152" s="2" t="s">
        <v>573</v>
      </c>
      <c r="D1152" s="2" t="str">
        <f t="shared" si="17"/>
        <v>Error?</v>
      </c>
    </row>
    <row r="1153" spans="1:4" x14ac:dyDescent="0.2">
      <c r="A1153" s="5">
        <v>1092</v>
      </c>
      <c r="B1153" s="138">
        <f>'Expenditures 15-22'!K115</f>
        <v>5987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63982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69969</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472353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472353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21943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21943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494296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494296</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397717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397717</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17528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17528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415245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415245</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79051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79051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32000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45796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v>
      </c>
      <c r="C2551" s="2" t="s">
        <v>573</v>
      </c>
      <c r="D2551" s="2" t="str">
        <f t="shared" si="38"/>
        <v>Error?</v>
      </c>
    </row>
    <row r="2552" spans="1:4" x14ac:dyDescent="0.2">
      <c r="A2552" s="10">
        <v>2491</v>
      </c>
      <c r="D2552" s="2" t="str">
        <f t="shared" si="38"/>
        <v>OK</v>
      </c>
    </row>
    <row r="2553" spans="1:4" x14ac:dyDescent="0.2">
      <c r="A2553" s="5">
        <v>2492</v>
      </c>
      <c r="B2553" s="138">
        <f>'Acct Summary 7-8'!C6</f>
        <v>140718</v>
      </c>
      <c r="C2553" s="2" t="s">
        <v>573</v>
      </c>
      <c r="D2553" s="2" t="str">
        <f t="shared" si="38"/>
        <v>Error?</v>
      </c>
    </row>
    <row r="2554" spans="1:4" x14ac:dyDescent="0.2">
      <c r="A2554" s="5">
        <v>2493</v>
      </c>
      <c r="B2554" s="138">
        <f>'Acct Summary 7-8'!C7</f>
        <v>38735</v>
      </c>
      <c r="C2554" s="2" t="s">
        <v>573</v>
      </c>
      <c r="D2554" s="2" t="str">
        <f t="shared" si="38"/>
        <v>Error?</v>
      </c>
    </row>
    <row r="2555" spans="1:4" x14ac:dyDescent="0.2">
      <c r="A2555" s="5">
        <v>2494</v>
      </c>
      <c r="B2555" s="138">
        <f>'Acct Summary 7-8'!C8</f>
        <v>179455</v>
      </c>
      <c r="C2555" s="2" t="s">
        <v>573</v>
      </c>
      <c r="D2555" s="2" t="str">
        <f t="shared" si="38"/>
        <v>Error?</v>
      </c>
    </row>
    <row r="2556" spans="1:4" x14ac:dyDescent="0.2">
      <c r="A2556" s="5">
        <v>2495</v>
      </c>
      <c r="B2556" s="138">
        <f>'Acct Summary 7-8'!C12</f>
        <v>52596</v>
      </c>
      <c r="C2556" s="2" t="s">
        <v>573</v>
      </c>
      <c r="D2556" s="2" t="str">
        <f t="shared" si="38"/>
        <v>Error?</v>
      </c>
    </row>
    <row r="2557" spans="1:4" x14ac:dyDescent="0.2">
      <c r="A2557" s="5">
        <v>2496</v>
      </c>
      <c r="B2557" s="138">
        <f>'Acct Summary 7-8'!C13</f>
        <v>75076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45796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173468</v>
      </c>
      <c r="C2561" s="2" t="s">
        <v>573</v>
      </c>
      <c r="D2561" s="2" t="str">
        <f t="shared" si="39"/>
        <v>Error?</v>
      </c>
    </row>
    <row r="2562" spans="1:4" x14ac:dyDescent="0.2">
      <c r="A2562" s="5">
        <v>2501</v>
      </c>
      <c r="B2562" s="138">
        <f>'Acct Summary 7-8'!C20</f>
        <v>5987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13796</v>
      </c>
      <c r="C2789" s="2" t="s">
        <v>573</v>
      </c>
      <c r="D2789" s="2" t="str">
        <f t="shared" si="42"/>
        <v>Error?</v>
      </c>
    </row>
    <row r="2790" spans="1:4" x14ac:dyDescent="0.2">
      <c r="A2790" s="5">
        <v>2729</v>
      </c>
      <c r="B2790" s="138">
        <f>'Expenditures 15-22'!E102</f>
        <v>13796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687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687</v>
      </c>
      <c r="D2914" s="2" t="str">
        <f t="shared" si="44"/>
        <v>Error?</v>
      </c>
    </row>
    <row r="2915" spans="1:4" x14ac:dyDescent="0.2">
      <c r="A2915" s="10">
        <v>2854</v>
      </c>
      <c r="D2915" s="2" t="str">
        <f t="shared" si="44"/>
        <v>OK</v>
      </c>
    </row>
    <row r="2916" spans="1:4" x14ac:dyDescent="0.2">
      <c r="A2916" s="5">
        <v>2855</v>
      </c>
      <c r="B2916" s="138">
        <f>'Assets-Liab 5-6'!L34</f>
        <v>687</v>
      </c>
      <c r="C2916" s="2" t="s">
        <v>573</v>
      </c>
      <c r="D2916" s="2" t="str">
        <f t="shared" si="44"/>
        <v>Error?</v>
      </c>
    </row>
    <row r="2917" spans="1:4" x14ac:dyDescent="0.2">
      <c r="A2917" s="5">
        <v>2856</v>
      </c>
      <c r="B2917" s="138">
        <f>'Assets-Liab 5-6'!L41</f>
        <v>687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13796</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32000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45796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5987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69969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179455</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173468</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69969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38735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140718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140718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140718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140718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38735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38735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38735</v>
      </c>
      <c r="C5326" s="2" t="s">
        <v>573</v>
      </c>
      <c r="D5326" s="2" t="str">
        <f t="shared" si="82"/>
        <v>Error?</v>
      </c>
    </row>
    <row r="5327" spans="1:5" x14ac:dyDescent="0.2">
      <c r="A5327" s="5">
        <v>5266</v>
      </c>
      <c r="B5327" s="138">
        <f>'Revenues 9-14'!C268</f>
        <v>179455</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5987</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8.5566465148851634E-2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17528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Iroquois Area Reg Del System</v>
      </c>
      <c r="B7" s="2387"/>
      <c r="C7" s="2387"/>
      <c r="D7" s="2424"/>
      <c r="E7" s="2425">
        <f>COVER!A13</f>
        <v>32000000047</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f>COVER!A38</f>
        <v>0</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1001 E GRANT ST</v>
      </c>
      <c r="B14" s="2412"/>
      <c r="C14" s="2412"/>
      <c r="D14" s="2412"/>
      <c r="E14" s="2412"/>
      <c r="F14" s="2413"/>
      <c r="G14" s="1195" t="s">
        <v>1185</v>
      </c>
      <c r="H14" s="1193"/>
      <c r="I14" s="1193"/>
      <c r="J14" s="1193"/>
      <c r="K14" s="1193"/>
      <c r="L14" s="1194"/>
    </row>
    <row r="15" spans="1:29" ht="13.5" customHeight="1" x14ac:dyDescent="0.2">
      <c r="A15" s="2399" t="str">
        <f>COVER!A21</f>
        <v>WATSEKA</v>
      </c>
      <c r="B15" s="2412"/>
      <c r="C15" s="2412"/>
      <c r="D15" s="2412"/>
      <c r="E15" s="2412"/>
      <c r="F15" s="2413"/>
      <c r="G15" s="2409" t="str">
        <f>COVER!T15</f>
        <v>RUSS LEIGH</v>
      </c>
      <c r="H15" s="2410"/>
      <c r="I15" s="2410"/>
      <c r="J15" s="2410"/>
      <c r="K15" s="2410"/>
      <c r="L15" s="2411"/>
    </row>
    <row r="16" spans="1:29" ht="12.2" customHeight="1" x14ac:dyDescent="0.2">
      <c r="A16" s="2389">
        <f>COVER!A25</f>
        <v>60970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Iroquois Area Reg Del System</v>
      </c>
      <c r="B1" s="2423"/>
      <c r="C1" s="2423"/>
      <c r="D1" s="2423"/>
    </row>
    <row r="2" spans="1:11" s="1212" customFormat="1" ht="12.75" x14ac:dyDescent="0.2">
      <c r="A2" s="2428">
        <f>'Single Audit Cover'!E7</f>
        <v>32000000047</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Iroquois Area Reg Del System</v>
      </c>
      <c r="B1" s="2431"/>
      <c r="C1" s="2431"/>
      <c r="D1" s="2431"/>
      <c r="E1" s="2431"/>
    </row>
    <row r="2" spans="1:5" x14ac:dyDescent="0.2">
      <c r="A2" s="2432">
        <f>'Single Audit Cover'!E7</f>
        <v>32000000047</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38735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38735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38735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38735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Iroquois Area Reg Del System</v>
      </c>
      <c r="C1" s="2435"/>
      <c r="D1" s="2435"/>
      <c r="E1" s="2435"/>
      <c r="F1" s="2435"/>
      <c r="G1" s="2435"/>
      <c r="H1" s="2435"/>
      <c r="I1" s="2435"/>
      <c r="J1" s="2435"/>
      <c r="K1" s="2435"/>
      <c r="L1" s="2435"/>
      <c r="M1" s="2435"/>
    </row>
    <row r="2" spans="2:14" ht="15" x14ac:dyDescent="0.2">
      <c r="B2" s="2436">
        <f>'Single Audit Cover'!E7</f>
        <v>32000000047</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Iroquois Area Reg Del System</v>
      </c>
      <c r="B1" s="2440"/>
      <c r="C1" s="2440"/>
      <c r="D1" s="2440"/>
      <c r="E1" s="2440"/>
      <c r="F1" s="2440"/>
    </row>
    <row r="2" spans="1:7" ht="13.5" customHeight="1" x14ac:dyDescent="0.2">
      <c r="A2" s="2436">
        <f>'Single Audit Cover'!E7</f>
        <v>32000000047</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Iroquois Area Reg Del System</v>
      </c>
      <c r="C1" s="2456"/>
      <c r="D1" s="2456"/>
      <c r="E1" s="2456"/>
      <c r="F1" s="2456"/>
      <c r="G1" s="2456"/>
      <c r="H1" s="2456"/>
      <c r="I1" s="2456"/>
      <c r="J1" s="1406"/>
    </row>
    <row r="2" spans="2:10" s="317" customFormat="1" ht="12.75" customHeight="1" x14ac:dyDescent="0.2">
      <c r="B2" s="2457">
        <f>'Single Audit Cover'!E7</f>
        <v>32000000047</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Iroquois Area Reg Del System</v>
      </c>
      <c r="C1" s="2455"/>
      <c r="D1" s="2455"/>
      <c r="E1" s="2455"/>
      <c r="F1" s="2455"/>
      <c r="G1" s="2455"/>
      <c r="H1" s="2455"/>
      <c r="I1" s="2455"/>
      <c r="J1" s="2455"/>
      <c r="K1" s="2455"/>
      <c r="L1" s="1371"/>
      <c r="M1" s="1371"/>
    </row>
    <row r="2" spans="1:13" ht="12" customHeight="1" x14ac:dyDescent="0.2">
      <c r="B2" s="2457">
        <f>'Single Audit Cover'!E7</f>
        <v>32000000047</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Iroquois Area Reg Del System</v>
      </c>
      <c r="C1" s="2482"/>
      <c r="D1" s="2482"/>
      <c r="E1" s="2482"/>
      <c r="F1" s="2482"/>
      <c r="G1" s="2482"/>
      <c r="H1" s="2482"/>
      <c r="I1" s="2482"/>
      <c r="J1" s="2482"/>
      <c r="K1" s="2482"/>
      <c r="L1" s="1449"/>
    </row>
    <row r="2" spans="1:12" ht="12.75" customHeight="1" x14ac:dyDescent="0.2">
      <c r="B2" s="2483">
        <f>'Single Audit Cover'!E7</f>
        <v>32000000047</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Iroquois Area Reg Del System</v>
      </c>
      <c r="C1" s="2455"/>
      <c r="D1" s="2455"/>
      <c r="E1" s="1469"/>
    </row>
    <row r="2" spans="2:5" s="1279" customFormat="1" ht="12.75" customHeight="1" x14ac:dyDescent="0.2">
      <c r="B2" s="2457">
        <f>'Single Audit Cover'!E7</f>
        <v>32000000047</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4d435f69-8686-490b-bd6d-b153bf22ab50"/>
    <ds:schemaRef ds:uri="http://schemas.openxmlformats.org/package/2006/metadata/core-properties"/>
    <ds:schemaRef ds:uri="d21dc803-237d-4c68-8692-8d731fd29118"/>
    <ds:schemaRef ds:uri="6ce3111e-7420-4802-b50a-75d4e9a0b980"/>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2019-10-01T21:29:56Z</cp:lastPrinted>
  <dcterms:created xsi:type="dcterms:W3CDTF">2003-10-29T19:06:34Z</dcterms:created>
  <dcterms:modified xsi:type="dcterms:W3CDTF">2019-12-23T21:18:44Z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