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7D780217-8137-4BEE-ABC0-DE6A9CBC3EA6}"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3" i="29" l="1"/>
  <c r="E13" i="29"/>
  <c r="C13" i="29"/>
  <c r="D13" i="29"/>
  <c r="E83" i="29"/>
  <c r="E73" i="29"/>
  <c r="C61" i="29"/>
  <c r="F61" i="29"/>
  <c r="E61" i="29"/>
  <c r="H60" i="29"/>
  <c r="E60" i="29"/>
  <c r="H55" i="29"/>
  <c r="F55" i="29"/>
  <c r="E55" i="29"/>
  <c r="C55" i="29"/>
  <c r="I45" i="29"/>
  <c r="C44" i="29"/>
  <c r="F37" i="29"/>
  <c r="E37" i="29"/>
  <c r="C37" i="29"/>
  <c r="I13" i="29"/>
  <c r="G13" i="29"/>
  <c r="H13" i="29"/>
  <c r="C135" i="5"/>
  <c r="C65" i="5"/>
  <c r="C27"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0" i="106"/>
  <c r="D7090"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D27" i="108"/>
  <c r="E27" i="108"/>
  <c r="F27" i="108"/>
  <c r="G27" i="108"/>
  <c r="F31" i="108"/>
  <c r="F36" i="108"/>
  <c r="G28" i="108"/>
  <c r="E30" i="108"/>
  <c r="G30" i="108"/>
  <c r="D31" i="108"/>
  <c r="D36" i="108"/>
  <c r="E31" i="108"/>
  <c r="G31" i="108"/>
  <c r="E33" i="108"/>
  <c r="G33"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N22" i="3"/>
  <c r="B283" i="106" s="1"/>
  <c r="D283" i="106" s="1"/>
  <c r="D7" i="118"/>
  <c r="D8" i="118"/>
  <c r="D9" i="118"/>
  <c r="H14" i="118"/>
  <c r="H19" i="118"/>
  <c r="H24" i="118"/>
  <c r="H29" i="118"/>
  <c r="H33" i="118"/>
  <c r="J22" i="37"/>
  <c r="D24" i="37"/>
  <c r="B4270" i="106" s="1"/>
  <c r="D4270" i="106" s="1"/>
  <c r="L5" i="11"/>
  <c r="B2056" i="106" s="1"/>
  <c r="D2056" i="106" s="1"/>
  <c r="B5752" i="106"/>
  <c r="D5752" i="106" s="1"/>
  <c r="D9" i="7" l="1"/>
  <c r="B1767" i="106" s="1"/>
  <c r="D1767" i="106" s="1"/>
  <c r="D22" i="37"/>
  <c r="F36" i="34"/>
  <c r="B6289" i="106"/>
  <c r="D6289" i="106" s="1"/>
  <c r="J41" i="3"/>
  <c r="H28" i="118"/>
  <c r="K28" i="118" s="1"/>
  <c r="O27" i="118" s="1"/>
  <c r="O29" i="118" s="1"/>
  <c r="F70" i="34"/>
  <c r="G38" i="108"/>
  <c r="E38" i="108"/>
  <c r="G35" i="108"/>
  <c r="D54" i="36"/>
  <c r="K76" i="4"/>
  <c r="B3586" i="106" s="1"/>
  <c r="D3586" i="106" s="1"/>
  <c r="H112" i="29"/>
  <c r="B7018" i="106" s="1"/>
  <c r="D7018" i="106" s="1"/>
  <c r="K184" i="29"/>
  <c r="F13" i="4" s="1"/>
  <c r="B2596" i="106" s="1"/>
  <c r="D2596" i="106" s="1"/>
  <c r="G210" i="29"/>
  <c r="B1365" i="106" s="1"/>
  <c r="D1365" i="106" s="1"/>
  <c r="J352" i="29"/>
  <c r="J367" i="29" s="1"/>
  <c r="B7245" i="106" s="1"/>
  <c r="D7245" i="106" s="1"/>
  <c r="I210" i="29"/>
  <c r="B7071" i="106" s="1"/>
  <c r="D7071" i="106" s="1"/>
  <c r="C342" i="29"/>
  <c r="B7216" i="106" s="1"/>
  <c r="D7216" i="106" s="1"/>
  <c r="G39" i="108"/>
  <c r="G14" i="4"/>
  <c r="B2609" i="106" s="1"/>
  <c r="D2609" i="106" s="1"/>
  <c r="L367" i="29"/>
  <c r="F71" i="34"/>
  <c r="F38" i="34"/>
  <c r="B7235" i="106"/>
  <c r="D7235" i="106" s="1"/>
  <c r="B3647" i="106"/>
  <c r="D3647" i="106" s="1"/>
  <c r="C129" i="29"/>
  <c r="C151" i="29" s="1"/>
  <c r="B1226" i="106" s="1"/>
  <c r="D1226" i="106" s="1"/>
  <c r="G15" i="145"/>
  <c r="F68" i="34"/>
  <c r="E34" i="108"/>
  <c r="G26" i="108"/>
  <c r="B1124" i="106"/>
  <c r="D1124" i="106" s="1"/>
  <c r="B1274" i="106"/>
  <c r="D1274" i="106" s="1"/>
  <c r="F28" i="108"/>
  <c r="J210" i="29"/>
  <c r="B7072" i="106" s="1"/>
  <c r="D7072" i="106" s="1"/>
  <c r="L342" i="29"/>
  <c r="H342" i="29"/>
  <c r="H365" i="29"/>
  <c r="B7242" i="106" s="1"/>
  <c r="D7242" i="106" s="1"/>
  <c r="F77" i="4"/>
  <c r="B3255" i="106" s="1"/>
  <c r="D3255" i="106" s="1"/>
  <c r="D17" i="7"/>
  <c r="B4104" i="106" s="1"/>
  <c r="D4104" i="106" s="1"/>
  <c r="D11" i="37"/>
  <c r="F14" i="4"/>
  <c r="B2597" i="106" s="1"/>
  <c r="D2597" i="106" s="1"/>
  <c r="D37" i="108"/>
  <c r="F37" i="108"/>
  <c r="E28" i="108"/>
  <c r="D26" i="108"/>
  <c r="D31" i="36"/>
  <c r="J77" i="4"/>
  <c r="B6262" i="106" s="1"/>
  <c r="D6262" i="106" s="1"/>
  <c r="B4087" i="106"/>
  <c r="D4087" i="106" s="1"/>
  <c r="K41" i="3"/>
  <c r="L15" i="11"/>
  <c r="B3459" i="106" s="1"/>
  <c r="D3459" i="106" s="1"/>
  <c r="L22" i="37"/>
  <c r="F19" i="7"/>
  <c r="B1807" i="106" s="1"/>
  <c r="D1807" i="106" s="1"/>
  <c r="F65" i="34"/>
  <c r="G29" i="108"/>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B1266" i="106" l="1"/>
  <c r="D1266" i="106" s="1"/>
  <c r="B1328" i="106"/>
  <c r="D1328" i="106" s="1"/>
  <c r="K77" i="4"/>
  <c r="B3587" i="106" s="1"/>
  <c r="D3587" i="106" s="1"/>
  <c r="B7215" i="106"/>
  <c r="D7215" i="106" s="1"/>
  <c r="K365" i="29"/>
  <c r="F66" i="34"/>
  <c r="L114" i="29"/>
  <c r="L16" i="11"/>
  <c r="B2061" i="106" s="1"/>
  <c r="D2061" i="106" s="1"/>
  <c r="D41" i="108"/>
  <c r="E43" i="108" s="1"/>
  <c r="F41" i="108"/>
  <c r="G43" i="108" s="1"/>
  <c r="G6" i="4"/>
  <c r="B2604" i="106" s="1"/>
  <c r="D2604" i="106" s="1"/>
  <c r="B5770" i="106"/>
  <c r="D5770" i="106" s="1"/>
  <c r="K342" i="29"/>
  <c r="F13" i="34" s="1"/>
  <c r="C114" i="29"/>
  <c r="B757" i="106" s="1"/>
  <c r="D757" i="106" s="1"/>
  <c r="D44" i="36"/>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<sst xmlns="http://schemas.openxmlformats.org/spreadsheetml/2006/main" count="5091" uniqueCount="2092">
  <si>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</si>
  <si>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</si>
  <si>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</si>
  <si>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</si>
  <si>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</si>
  <si>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</si>
  <si>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</si>
  <si>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</si>
  <si>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</si>
  <si>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</si>
  <si>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</si>
  <si>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</si>
  <si>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</si>
  <si>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</si>
  <si>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</si>
  <si>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</si>
  <si>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</si>
  <si>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</si>
  <si>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</si>
  <si>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</si>
  <si>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</si>
  <si>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</si>
  <si>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</si>
  <si>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</si>
  <si>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</si>
  <si>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</si>
  <si>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</si>
  <si>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</si>
  <si>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</si>
  <si>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</si>
  <si>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</si>
  <si>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</si>
  <si>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</si>
  <si>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</si>
  <si>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</si>
  <si>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</si>
  <si>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</si>
  <si>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</si>
  <si>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</si>
  <si>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</si>
  <si>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</si>
  <si>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</si>
  <si>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</si>
  <si>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</si>
  <si>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</si>
  <si>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</si>
  <si>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</si>
  <si>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</si>
  <si>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</si>
  <si>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</si>
  <si>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</si>
  <si>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</si>
  <si>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</si>
  <si>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</si>
  <si>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</si>
  <si>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</si>
  <si>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</si>
  <si>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</si>
  <si>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</si>
  <si>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</si>
  <si>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</si>
  <si>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</si>
  <si>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</si>
  <si>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</si>
  <si>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</si>
  <si>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</si>
  <si>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</si>
  <si>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</si>
  <si>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</si>
  <si>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</si>
  <si>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</si>
  <si>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</si>
  <si>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</si>
  <si>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</si>
  <si>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</si>
  <si>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</si>
  <si>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</si>
  <si>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</si>
  <si>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</si>
  <si>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</si>
  <si>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</si>
  <si>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</si>
  <si>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</si>
  <si>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</si>
  <si>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</si>
  <si>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</si>
  <si>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</si>
  <si>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</si>
  <si>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</si>
  <si>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</si>
  <si>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</si>
  <si>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</si>
  <si>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</si>
  <si>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</si>
  <si>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</si>
  <si>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</si>
  <si>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</si>
  <si>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</si>
  <si>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</si>
  <si>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</si>
  <si>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</si>
  <si>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</si>
  <si>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</si>
  <si>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</si>
  <si>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</si>
  <si>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</si>
  <si>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</si>
  <si>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</si>
  <si>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</si>
  <si>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</si>
  <si>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</si>
  <si>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</si>
  <si>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</si>
  <si>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</si>
  <si>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</si>
  <si>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</si>
  <si>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</si>
  <si>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</si>
  <si>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</si>
  <si>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</si>
  <si>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</si>
  <si>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</si>
  <si>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</si>
  <si>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</si>
  <si>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</si>
  <si>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</si>
  <si>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</si>
  <si>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</si>
  <si>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</si>
  <si>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</si>
  <si>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</si>
  <si>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</si>
  <si>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</si>
  <si>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</si>
  <si>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</si>
  <si>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</si>
  <si>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</si>
  <si>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</si>
  <si>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</si>
  <si>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</si>
  <si>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</si>
  <si>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</si>
  <si>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</si>
  <si>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</si>
  <si>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</si>
  <si>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</si>
  <si>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</si>
  <si>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</si>
  <si>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</si>
  <si>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</si>
  <si>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</si>
  <si>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</si>
  <si>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</si>
  <si>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</si>
  <si>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</si>
  <si>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</si>
  <si>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</si>
  <si>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</si>
  <si>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</si>
  <si>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</si>
  <si>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</si>
  <si>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</si>
  <si>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</si>
  <si>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</si>
  <si>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</si>
  <si>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</si>
  <si>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</si>
  <si>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</si>
  <si>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</si>
  <si>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</si>
  <si>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</si>
  <si>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</si>
  <si>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</si>
  <si>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</si>
  <si>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</si>
  <si>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</si>
  <si>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</si>
  <si>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</si>
  <si>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</si>
  <si>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</si>
  <si>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</si>
  <si>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</si>
  <si>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</si>
  <si>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</si>
  <si>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</si>
  <si>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</si>
  <si>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</si>
  <si>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</si>
  <si>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</si>
  <si>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</si>
  <si>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</si>
  <si>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</si>
  <si>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</si>
  <si>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</si>
  <si>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</si>
  <si>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</si>
  <si>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</si>
  <si>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</si>
  <si>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</si>
  <si>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</si>
  <si>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</si>
  <si>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</si>
  <si>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</si>
  <si>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</si>
  <si>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</si>
  <si>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</si>
  <si>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</si>
  <si>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</si>
  <si>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</si>
  <si>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</si>
  <si>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</si>
  <si>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</si>
  <si>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</si>
  <si>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</si>
  <si>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</si>
  <si>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</si>
  <si>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</si>
  <si>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</si>
  <si>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</si>
  <si>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</si>
  <si>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</si>
  <si>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</si>
  <si>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</si>
  <si>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</si>
  <si>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</si>
  <si>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</si>
  <si>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</si>
  <si>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</si>
  <si>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</si>
  <si>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</si>
  <si>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</si>
  <si>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</si>
  <si>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</si>
  <si>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</si>
  <si>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</si>
  <si>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</si>
  <si>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</si>
  <si>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</si>
  <si>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</si>
  <si>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</si>
  <si>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</si>
  <si>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</si>
  <si>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</si>
  <si>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</si>
  <si>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</si>
  <si>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</si>
  <si>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</si>
  <si>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</si>
  <si>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</si>
  <si>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</si>
  <si>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</si>
  <si>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</si>
  <si>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</si>
  <si>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</si>
  <si>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</si>
  <si>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</si>
  <si>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</si>
  <si>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</si>
  <si>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</si>
  <si>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</si>
  <si>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</si>
  <si>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</si>
  <si>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</si>
  <si>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</si>
  <si>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</si>
  <si>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</si>
  <si>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</si>
  <si>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</si>
  <si>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</si>
  <si>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</si>
  <si>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</si>
  <si>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</si>
  <si>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</si>
  <si>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</si>
  <si>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</si>
  <si>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</si>
  <si>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</si>
  <si>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</si>
  <si>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</si>
  <si>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</si>
  <si>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</si>
  <si>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</si>
  <si>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</si>
  <si>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</si>
  <si>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</si>
  <si>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</si>
  <si>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</si>
  <si>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</si>
  <si>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</si>
  <si>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</si>
  <si>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</si>
  <si>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</si>
  <si>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</si>
  <si>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</si>
  <si>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</si>
  <si>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</si>
  <si>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</si>
  <si>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</si>
  <si>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</si>
  <si>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</si>
  <si>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</si>
  <si>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</si>
  <si>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</si>
  <si>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</si>
  <si>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</si>
  <si>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</si>
  <si>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</si>
  <si>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</si>
  <si>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</si>
  <si>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</si>
  <si>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</si>
  <si>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</si>
  <si>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</si>
  <si>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</si>
  <si>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</si>
  <si>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</si>
  <si>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</si>
  <si>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</si>
  <si>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</si>
  <si>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</si>
  <si>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</si>
  <si>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</si>
  <si>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</si>
  <si>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</si>
  <si>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</si>
  <si>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</si>
  <si>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</si>
  <si>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</si>
  <si>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</si>
  <si>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</si>
  <si>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</si>
  <si>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</si>
  <si>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</si>
  <si>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</si>
  <si>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</si>
  <si>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</si>
  <si>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</si>
  <si>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</si>
  <si>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</si>
  <si>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</si>
  <si>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</si>
  <si>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</si>
  <si>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</si>
  <si>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</si>
  <si>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</si>
  <si>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</si>
  <si>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</si>
  <si>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</si>
  <si>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</si>
  <si>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</si>
  <si>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</si>
  <si>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</si>
  <si>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</si>
  <si>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</si>
  <si>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</si>
  <si>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</si>
  <si>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</si>
  <si>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</si>
  <si>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</si>
  <si>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</si>
  <si>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</si>
  <si>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</si>
  <si>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</si>
  <si>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</si>
  <si>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</si>
  <si>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</si>
  <si>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</si>
  <si>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</si>
  <si>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</si>
  <si>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</si>
  <si>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</si>
  <si>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</si>
  <si>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</si>
  <si>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</si>
  <si>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</si>
  <si>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</si>
  <si>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</si>
  <si>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</si>
  <si>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</si>
  <si>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</si>
  <si>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</si>
  <si>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</si>
  <si>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</si>
  <si>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</si>
  <si>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</si>
  <si>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</si>
  <si>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</si>
  <si>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</si>
  <si>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</si>
  <si>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</si>
  <si>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</si>
  <si>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</si>
  <si>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</si>
  <si>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</si>
  <si>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</si>
  <si>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</si>
  <si>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</si>
  <si>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</si>
  <si>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</si>
  <si>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</si>
  <si>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</si>
  <si>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</si>
  <si>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</si>
  <si>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</si>
  <si>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</si>
  <si>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</si>
  <si>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</si>
  <si>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</si>
  <si>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</si>
  <si>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</si>
  <si>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</si>
  <si>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</si>
  <si>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</si>
  <si>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</si>
  <si>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</si>
  <si>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</si>
  <si>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</si>
  <si>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</si>
  <si>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</si>
  <si>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</si>
  <si>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</si>
  <si>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</si>
  <si>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</si>
  <si>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</si>
  <si>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</si>
  <si>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</si>
  <si>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</si>
  <si>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</si>
  <si>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</si>
  <si>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</si>
  <si>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</si>
  <si>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</si>
  <si>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</si>
  <si>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</si>
  <si>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</si>
  <si>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</si>
  <si>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</si>
  <si>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</si>
  <si>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</si>
  <si>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</si>
  <si>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</si>
  <si>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</si>
  <si>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</si>
  <si>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</si>
  <si>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</si>
  <si>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</si>
  <si>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</si>
  <si>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</si>
  <si>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</si>
  <si>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</si>
  <si>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</si>
  <si>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</si>
  <si>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</si>
  <si>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</si>
  <si>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</si>
  <si>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</si>
  <si>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</si>
  <si>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</si>
  <si>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</si>
  <si>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</si>
  <si>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</si>
  <si>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</si>
  <si>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</si>
  <si>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</si>
  <si>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</si>
  <si>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</si>
  <si>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</si>
  <si>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</si>
  <si>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</si>
  <si>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</si>
  <si>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</si>
  <si>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</si>
  <si>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</si>
  <si>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</si>
  <si>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</si>
  <si>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</si>
  <si>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</si>
  <si>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</si>
  <si>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</si>
  <si>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</si>
  <si>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</si>
  <si>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</si>
  <si>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</si>
  <si>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</si>
  <si>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</si>
  <si>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</si>
  <si>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</si>
  <si>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</si>
  <si>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</si>
  <si>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</si>
  <si>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</si>
  <si>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</si>
  <si>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</si>
  <si>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</si>
  <si>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</si>
  <si>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</si>
  <si>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</si>
  <si>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</si>
  <si>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</si>
  <si>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</si>
  <si>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</si>
  <si>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</si>
  <si>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</si>
  <si>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</si>
  <si>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</si>
  <si>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</si>
  <si>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</si>
  <si>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</si>
  <si>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</si>
  <si>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</si>
  <si>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</si>
  <si>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</si>
  <si>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</si>
  <si>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</si>
  <si>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</si>
  <si>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</si>
  <si>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</si>
  <si>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</si>
  <si>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</si>
  <si>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</si>
  <si>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</si>
  <si>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</si>
  <si>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</si>
  <si>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</si>
  <si>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</si>
  <si>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</si>
  <si>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</si>
  <si>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</si>
  <si>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</si>
  <si>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</si>
  <si>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</si>
  <si>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</si>
  <si>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</si>
  <si>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</si>
  <si>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</si>
  <si>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</si>
  <si>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</si>
  <si>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</si>
  <si>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</si>
  <si>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</si>
  <si>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</si>
  <si>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</si>
  <si>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</si>
  <si>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</si>
  <si>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</si>
  <si>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</si>
  <si>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</si>
  <si>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</si>
  <si>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</si>
  <si>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</si>
  <si>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</si>
  <si>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</si>
  <si>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</si>
  <si>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</si>
  <si>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</si>
  <si>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</si>
  <si>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</si>
  <si>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</si>
  <si>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</si>
  <si>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</si>
  <si>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</si>
  <si>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</si>
  <si>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</si>
  <si>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</si>
  <si>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</si>
  <si>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</si>
  <si>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</si>
  <si>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</si>
  <si>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</si>
  <si>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</si>
  <si>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</si>
  <si>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</si>
  <si>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</si>
  <si>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</si>
  <si>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</si>
  <si>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</si>
  <si>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</si>
  <si>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</si>
  <si>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</si>
  <si>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</si>
  <si>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</si>
  <si>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</si>
  <si>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</si>
  <si>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</si>
  <si>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</si>
  <si>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</si>
  <si>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</si>
  <si>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</si>
  <si>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</si>
  <si>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</si>
  <si>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</si>
  <si>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</si>
  <si>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</si>
  <si>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</si>
  <si>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</si>
  <si>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</si>
  <si>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</si>
  <si>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</si>
  <si>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</si>
  <si>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</si>
  <si>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</si>
  <si>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</si>
  <si>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</si>
  <si>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</si>
  <si>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</si>
  <si>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</si>
  <si>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</si>
  <si>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</si>
  <si>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</si>
  <si>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</si>
  <si>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</si>
  <si>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</si>
  <si>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</si>
  <si>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</si>
  <si>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</si>
  <si>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</si>
  <si>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</si>
  <si>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</si>
  <si>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</si>
  <si>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</si>
  <si>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</si>
  <si>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</si>
  <si>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</si>
  <si>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</si>
  <si>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</si>
  <si>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</si>
  <si>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</si>
  <si>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</si>
  <si>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</si>
  <si>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</si>
  <si>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</si>
  <si>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</si>
  <si>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</si>
  <si>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</si>
  <si>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</si>
  <si>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</si>
  <si>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</si>
  <si>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</si>
  <si>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</si>
  <si>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</si>
  <si>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</si>
  <si>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</si>
  <si>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</si>
  <si>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</si>
  <si>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</si>
  <si>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</si>
  <si>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</si>
  <si>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</si>
  <si>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</si>
  <si>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</si>
  <si>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</si>
  <si>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</si>
  <si>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</si>
  <si>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</si>
  <si>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</si>
  <si>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</si>
  <si>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</si>
  <si>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</si>
  <si>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</si>
  <si>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</si>
  <si>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</si>
  <si>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</si>
  <si>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</si>
  <si>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</si>
  <si>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</si>
  <si>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</si>
  <si>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</si>
  <si>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</si>
  <si>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</si>
  <si>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</si>
  <si>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</si>
  <si>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</si>
  <si>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</si>
  <si>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</si>
  <si>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</si>
  <si>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</si>
  <si>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</si>
  <si>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</si>
  <si>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</si>
  <si>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</si>
  <si>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</si>
  <si>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</si>
  <si>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</si>
  <si>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</si>
  <si>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</si>
  <si>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</si>
  <si>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</si>
  <si>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</si>
  <si>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</si>
  <si>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</si>
  <si>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</si>
  <si>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</si>
  <si>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</si>
  <si>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</si>
  <si>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</si>
  <si>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</si>
  <si>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</si>
  <si>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</si>
  <si>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</si>
  <si>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</si>
  <si>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</si>
  <si>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</si>
  <si>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</si>
  <si>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</si>
  <si>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</si>
  <si>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</si>
  <si>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</si>
  <si>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</si>
  <si>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</si>
  <si>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</si>
  <si>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</si>
  <si>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</si>
  <si>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</si>
  <si>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</si>
  <si>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</si>
  <si>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</si>
  <si>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</si>
  <si>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</si>
  <si>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</si>
  <si>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</si>
  <si>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</si>
  <si>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</si>
  <si>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</si>
  <si>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</si>
  <si>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</si>
  <si>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</si>
  <si>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</si>
  <si>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</si>
  <si>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</si>
  <si>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</si>
  <si>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</si>
  <si>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</si>
  <si>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</si>
  <si>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</si>
  <si>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</si>
  <si>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</si>
  <si>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</si>
  <si>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</si>
  <si>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</si>
  <si>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</si>
  <si>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</si>
  <si>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</si>
  <si>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</si>
  <si>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</si>
  <si>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</si>
  <si>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</si>
  <si>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</si>
  <si>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</si>
  <si>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</si>
  <si>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</si>
  <si>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</si>
  <si>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</si>
  <si>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</si>
  <si>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</si>
  <si>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</si>
  <si>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</si>
  <si>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</si>
  <si>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</si>
  <si>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</si>
  <si>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</si>
  <si>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</si>
  <si>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</si>
  <si>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</si>
  <si>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</si>
  <si>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</si>
  <si>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</si>
  <si>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</si>
  <si>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</si>
  <si>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</si>
  <si>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</si>
  <si>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</si>
  <si>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</si>
  <si>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</si>
  <si>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</si>
  <si>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</si>
  <si>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</si>
  <si>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</si>
  <si>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</si>
  <si>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</si>
  <si>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</si>
  <si>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</si>
  <si>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</si>
  <si>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</si>
  <si>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</si>
  <si>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</si>
  <si>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</si>
  <si>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</si>
  <si>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</si>
  <si>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</si>
  <si>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</si>
  <si>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</si>
  <si>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</si>
  <si>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</si>
  <si>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</si>
  <si>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</si>
  <si>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</si>
  <si>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</si>
  <si>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</si>
  <si>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</si>
  <si>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</si>
  <si>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</si>
  <si>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</si>
  <si>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</si>
  <si>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</si>
  <si>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</si>
  <si>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</si>
  <si>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</si>
  <si>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</si>
  <si>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</si>
  <si>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</si>
  <si>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</si>
  <si>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</si>
  <si>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</si>
  <si>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</si>
  <si>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</si>
  <si>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</si>
  <si>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</si>
  <si>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</si>
  <si>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</si>
  <si>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</si>
  <si>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</si>
  <si>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</si>
  <si>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</si>
  <si>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</si>
  <si>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</si>
  <si>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</si>
  <si>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</si>
  <si>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</si>
  <si>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</si>
  <si>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</si>
  <si>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</si>
  <si>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</si>
  <si>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</si>
  <si>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</si>
  <si>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</si>
  <si>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</si>
  <si>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</si>
  <si>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</si>
  <si>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</si>
  <si>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</si>
  <si>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</si>
  <si>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</si>
  <si>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</si>
  <si>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</si>
  <si>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</si>
  <si>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</si>
  <si>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</si>
  <si>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</si>
  <si>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</si>
  <si>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</si>
  <si>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</si>
  <si>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</si>
  <si>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</si>
  <si>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</si>
  <si>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</si>
  <si>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</si>
  <si>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</si>
  <si>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</si>
  <si>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</si>
  <si>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</si>
  <si>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</si>
  <si>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</si>
  <si>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</si>
  <si>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</si>
  <si>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</si>
  <si>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</si>
  <si>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</si>
  <si>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</si>
  <si>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</si>
  <si>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</si>
  <si>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</si>
  <si>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</si>
  <si>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</si>
  <si>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</si>
  <si>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</si>
  <si>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</si>
  <si>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</si>
  <si>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</si>
  <si>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</si>
  <si>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</si>
  <si>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</si>
  <si>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</si>
  <si>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</si>
  <si>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</si>
  <si>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</si>
  <si>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</si>
  <si>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</si>
  <si>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</si>
  <si>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</si>
  <si>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</si>
  <si>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</si>
  <si>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</si>
  <si>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</si>
  <si>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</si>
  <si>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</si>
  <si>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</si>
  <si>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</si>
  <si>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</si>
  <si>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</si>
  <si>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</si>
  <si>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</si>
  <si>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</si>
  <si>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</si>
  <si>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</si>
  <si>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</si>
  <si>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</si>
  <si>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</si>
  <si>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</si>
  <si>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</si>
  <si>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</si>
  <si>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</si>
  <si>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</si>
  <si>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</si>
  <si>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</si>
  <si>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</si>
  <si>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</si>
  <si>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</si>
  <si>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</si>
  <si>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</si>
  <si>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</si>
  <si>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</si>
  <si>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</si>
  <si>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</si>
  <si>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</si>
  <si>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</si>
  <si>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</si>
  <si>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</si>
  <si>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</si>
  <si>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</si>
  <si>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</si>
  <si>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</si>
  <si>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</si>
  <si>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</si>
  <si>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</si>
  <si>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</si>
  <si>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</si>
  <si>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</si>
  <si>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</si>
  <si>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</si>
  <si>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</si>
  <si>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</si>
  <si>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</si>
  <si>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</si>
  <si>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</si>
  <si>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</si>
  <si>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</si>
  <si>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</si>
  <si>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</si>
  <si>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</si>
  <si>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</si>
  <si>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</si>
  <si>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</si>
  <si>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</si>
  <si>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</si>
  <si>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</si>
  <si>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</si>
  <si>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</si>
  <si>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</si>
  <si>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</si>
  <si>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</si>
  <si>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</si>
  <si>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</si>
  <si>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</si>
  <si>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</si>
  <si>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</si>
  <si>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</si>
  <si>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</si>
  <si>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</si>
  <si>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</si>
  <si>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</si>
  <si>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</si>
  <si>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</si>
  <si>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</si>
  <si>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</si>
  <si>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</si>
  <si>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</si>
  <si>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</si>
  <si>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</si>
  <si>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</si>
  <si>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</si>
  <si>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</si>
  <si>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</si>
  <si>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</si>
  <si>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</si>
  <si>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</si>
  <si>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</si>
  <si>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</si>
  <si>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</si>
  <si>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</si>
  <si>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</si>
  <si>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</si>
  <si>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</si>
  <si>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</si>
  <si>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</si>
  <si>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</si>
  <si>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</si>
  <si>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</si>
  <si>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</si>
  <si>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</si>
  <si>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</si>
  <si>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</si>
  <si>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</si>
  <si>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</si>
  <si>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</si>
  <si>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</si>
  <si>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</si>
  <si>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</si>
  <si>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</si>
  <si>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</si>
  <si>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</si>
  <si>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</si>
  <si>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</si>
  <si>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</si>
  <si>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</si>
  <si>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</si>
  <si>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</si>
  <si>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</si>
  <si>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</si>
  <si>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</si>
  <si>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</si>
  <si>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</si>
  <si>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</si>
  <si>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</si>
  <si>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</si>
  <si>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</si>
  <si>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</si>
  <si>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</si>
  <si>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</si>
  <si>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</si>
  <si>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</si>
  <si>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</si>
  <si>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</si>
  <si>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</si>
  <si>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</si>
  <si>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</si>
  <si>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</si>
  <si>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</si>
  <si>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</si>
  <si>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</si>
  <si>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</si>
  <si>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</si>
  <si>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</si>
  <si>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</si>
  <si>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</si>
  <si>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</si>
  <si>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</si>
  <si>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</si>
  <si>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</si>
  <si>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</si>
  <si>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</si>
  <si>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</si>
  <si>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</si>
  <si>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</si>
  <si>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</si>
  <si>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</si>
  <si>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</si>
  <si>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</si>
  <si>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</si>
  <si>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</si>
  <si>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</si>
  <si>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</si>
  <si>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</si>
  <si>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</si>
  <si>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</si>
  <si>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</si>
  <si>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</si>
  <si>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</si>
  <si>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</si>
  <si>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</si>
  <si>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</si>
  <si>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</si>
  <si>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</si>
  <si>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</si>
  <si>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</si>
  <si>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</si>
  <si>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</si>
  <si>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</si>
  <si>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</si>
  <si>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</si>
  <si>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</si>
  <si>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</si>
  <si>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</si>
  <si>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</si>
  <si>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</si>
  <si>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</si>
  <si>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</si>
  <si>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</si>
  <si>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</si>
  <si>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</si>
  <si>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</si>
  <si>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</si>
  <si>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</si>
  <si>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</si>
  <si>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</si>
  <si>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</si>
  <si>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</si>
  <si>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</si>
  <si>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</si>
  <si>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</si>
  <si>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</si>
  <si>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</si>
  <si>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</si>
  <si>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</si>
  <si>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</si>
  <si>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</si>
  <si>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</si>
  <si>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</si>
  <si>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</si>
  <si>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</si>
  <si>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</si>
  <si>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</si>
  <si>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</si>
  <si>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</si>
  <si>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</si>
  <si>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</si>
  <si>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</si>
  <si>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</si>
  <si>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</si>
  <si>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</si>
  <si>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</si>
  <si>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</si>
  <si>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</si>
  <si>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</si>
  <si>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</si>
  <si>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</si>
  <si>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</si>
  <si>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</si>
  <si>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</si>
  <si>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</si>
  <si>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</si>
  <si>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</si>
  <si>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</si>
  <si>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</si>
  <si>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</si>
  <si>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</si>
  <si>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</si>
  <si>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</si>
  <si>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</si>
  <si>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</si>
  <si>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</si>
  <si>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</si>
  <si>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</si>
  <si>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</si>
  <si>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</si>
  <si>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</si>
  <si>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</si>
  <si>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</si>
  <si>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</si>
  <si>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</si>
  <si>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</si>
  <si>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</si>
  <si>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</si>
  <si>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</si>
  <si>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</si>
  <si>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</si>
  <si>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</si>
  <si>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</si>
  <si>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</si>
  <si>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</si>
  <si>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</si>
  <si>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</si>
  <si>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</si>
  <si>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</si>
  <si>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</si>
  <si>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</si>
  <si>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</si>
  <si>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</si>
  <si>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</si>
  <si>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</si>
  <si>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</si>
  <si>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</si>
  <si>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</si>
  <si>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</si>
  <si>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</si>
  <si>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</si>
  <si>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</si>
  <si>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</si>
  <si>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</si>
  <si>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</si>
  <si>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</si>
  <si>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</si>
  <si>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</si>
  <si>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</si>
  <si>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</si>
  <si>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</si>
  <si>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</si>
  <si>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</si>
  <si>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</si>
  <si>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</si>
  <si>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</si>
  <si>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</si>
  <si>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</si>
  <si>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</si>
  <si>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</si>
  <si>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</si>
  <si>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</si>
  <si>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</si>
  <si>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</si>
  <si>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</si>
  <si>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</si>
  <si>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</si>
  <si>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</si>
  <si>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</si>
  <si>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</si>
  <si>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</si>
  <si>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</si>
  <si>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</si>
  <si>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</si>
  <si>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</si>
  <si>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</si>
  <si>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</si>
  <si>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</si>
  <si>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</si>
  <si>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</si>
  <si>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</si>
  <si>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</si>
  <si>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</si>
  <si>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</si>
  <si>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</si>
  <si>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</si>
  <si>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</si>
  <si>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</si>
  <si>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</si>
  <si>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</si>
  <si>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</si>
  <si>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</si>
  <si>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</si>
  <si>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</si>
  <si>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</si>
  <si>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</si>
  <si>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</si>
  <si>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</si>
  <si>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</si>
  <si>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</si>
  <si>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</si>
  <si>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</si>
  <si>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</si>
  <si>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</si>
  <si>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</si>
  <si>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</si>
  <si>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</si>
  <si>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</si>
  <si>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</si>
  <si>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</si>
  <si>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</si>
  <si>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</si>
  <si>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</si>
  <si>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</si>
  <si>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</si>
  <si>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</si>
  <si>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</si>
  <si>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</si>
  <si>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</si>
  <si>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</si>
  <si>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</si>
  <si>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</si>
  <si>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</si>
  <si>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</si>
  <si>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</si>
  <si>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</si>
  <si>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</si>
  <si>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</si>
  <si>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</si>
  <si>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</si>
  <si>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</si>
  <si>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</si>
  <si>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</si>
  <si>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</si>
  <si>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</si>
  <si>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</si>
  <si>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</si>
  <si>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</si>
  <si>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</si>
  <si>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</si>
  <si>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</si>
  <si>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</si>
  <si>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</si>
  <si>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</si>
  <si>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</si>
  <si>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</si>
  <si>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</si>
  <si>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</si>
  <si>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</si>
  <si>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</si>
  <si>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</si>
  <si>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</si>
  <si>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</si>
  <si>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</si>
  <si>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</si>
  <si>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</si>
  <si>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</si>
  <si>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</si>
  <si>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</si>
  <si>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</si>
  <si>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</si>
  <si>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</si>
  <si>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</si>
  <si>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</si>
  <si>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</si>
  <si>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</si>
  <si>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</si>
  <si>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</si>
  <si>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</si>
  <si>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</si>
  <si>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</si>
  <si>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</si>
  <si>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</si>
  <si>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</si>
  <si>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</si>
  <si>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</si>
  <si>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</si>
  <si>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</si>
  <si>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</si>
  <si>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</si>
  <si>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</si>
  <si>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</si>
  <si>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</si>
  <si>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</si>
  <si>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</si>
  <si>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</si>
  <si>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</si>
  <si>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</si>
  <si>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</si>
  <si>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</si>
  <si>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</si>
  <si>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</si>
  <si>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</si>
  <si>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</si>
  <si>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</si>
  <si>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</si>
  <si>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</si>
  <si>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</si>
  <si>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</si>
  <si>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</si>
  <si>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</si>
  <si>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</si>
  <si>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</si>
  <si>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</si>
  <si>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</si>
  <si>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</si>
  <si>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</si>
  <si>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</si>
  <si>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</si>
  <si>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</si>
  <si>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</si>
  <si>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</si>
  <si>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</si>
  <si>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</si>
  <si>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</si>
  <si>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</si>
  <si>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</si>
  <si>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</si>
  <si>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</si>
  <si>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</si>
  <si>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</si>
  <si>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</si>
  <si>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</si>
  <si>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</si>
  <si>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</si>
  <si>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</si>
  <si>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</si>
  <si>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</si>
  <si>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</si>
  <si>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</si>
  <si>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</si>
  <si>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</si>
  <si>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</si>
  <si>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</si>
  <si>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</si>
  <si>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</si>
  <si>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</si>
  <si>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</si>
  <si>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</si>
  <si>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</si>
  <si>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</si>
  <si>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</si>
  <si>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</si>
  <si>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</si>
  <si>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</si>
  <si>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</si>
  <si>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</si>
  <si>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</si>
  <si>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</si>
  <si>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</si>
  <si>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</si>
  <si>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</si>
  <si>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</si>
  <si>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</si>
  <si>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</si>
  <si>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</si>
  <si>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</si>
  <si>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</si>
  <si>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</si>
  <si>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</si>
  <si>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</si>
  <si>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</si>
  <si>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</si>
  <si>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</si>
  <si>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</si>
  <si>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</si>
  <si>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</si>
  <si>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</si>
  <si>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</si>
  <si>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</si>
  <si>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</si>
  <si>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</si>
  <si>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</si>
  <si>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</si>
  <si>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</si>
  <si>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</si>
  <si>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</si>
  <si>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</si>
  <si>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</si>
  <si>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</si>
  <si>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</si>
  <si>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</si>
  <si>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</si>
  <si>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</si>
  <si>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</si>
  <si>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</si>
  <si>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</si>
  <si>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</si>
  <si>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</si>
  <si>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</si>
  <si>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</si>
  <si>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</si>
  <si>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</si>
  <si>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</si>
  <si>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</si>
  <si>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</si>
  <si>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</si>
  <si>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</si>
  <si>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</si>
  <si>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</si>
  <si>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</si>
  <si>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</si>
  <si>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</si>
  <si>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</si>
  <si>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</si>
  <si>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</si>
  <si>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</si>
  <si>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</si>
  <si>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</si>
  <si>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</si>
  <si>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</si>
  <si>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</si>
  <si>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</si>
  <si>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</si>
  <si>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</si>
  <si>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</si>
  <si>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</si>
  <si>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</si>
  <si>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</si>
  <si>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</si>
  <si>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</si>
  <si>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</si>
  <si>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</si>
  <si>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</si>
  <si>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</si>
  <si>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</si>
  <si>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</si>
  <si>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</si>
  <si>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</si>
  <si>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</si>
  <si>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</si>
  <si>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</si>
  <si>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</si>
  <si>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</si>
  <si>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</si>
  <si>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</si>
  <si>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</si>
  <si>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</si>
  <si>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</si>
  <si>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</si>
  <si>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</si>
  <si>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</si>
  <si>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</si>
  <si>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</si>
  <si>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</si>
  <si>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</si>
  <si>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</si>
  <si>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</si>
  <si>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</si>
  <si>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</si>
  <si>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</si>
  <si>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</si>
  <si>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</si>
  <si>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</si>
  <si>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</si>
  <si>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</si>
  <si>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</si>
  <si>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</si>
  <si>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</si>
  <si>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</si>
  <si>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</si>
  <si>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</si>
  <si>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</si>
  <si>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</si>
  <si>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</si>
  <si>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</si>
  <si>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</si>
  <si>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</si>
  <si>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</si>
  <si>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</si>
  <si>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</si>
  <si>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</si>
  <si>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</si>
  <si>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</si>
  <si>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</si>
  <si>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</si>
  <si>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</si>
  <si>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</si>
  <si>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</si>
  <si>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</si>
  <si>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</si>
  <si>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</si>
  <si>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</si>
  <si>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</si>
  <si>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</si>
  <si>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</si>
  <si>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</si>
  <si>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</si>
  <si>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</si>
  <si>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</si>
  <si>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</si>
  <si>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</si>
  <si>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</si>
  <si>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</si>
  <si>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</si>
  <si>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</si>
  <si>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</si>
  <si>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</si>
  <si>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</si>
  <si>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</si>
  <si>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</si>
  <si>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</si>
  <si>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</si>
  <si>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</si>
  <si>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</si>
  <si>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</si>
  <si>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</si>
  <si>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</si>
  <si>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</si>
  <si>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</si>
  <si>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</si>
  <si>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</si>
  <si>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</si>
  <si>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</si>
  <si>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</si>
  <si>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</si>
  <si>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</si>
  <si>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</si>
  <si>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</si>
  <si>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</si>
  <si>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</si>
  <si>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</si>
  <si>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</si>
  <si>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</si>
  <si>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</si>
  <si>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</si>
  <si>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</si>
  <si>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</si>
  <si>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</si>
  <si>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</si>
  <si>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</si>
  <si>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</si>
  <si>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</si>
  <si>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</si>
  <si>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</si>
  <si>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</si>
  <si>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</si>
  <si>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</si>
  <si>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</si>
  <si>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</si>
  <si>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</si>
  <si>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</si>
  <si>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</si>
  <si>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</si>
  <si>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</si>
  <si>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</si>
  <si>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</si>
  <si>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</si>
  <si>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</si>
  <si>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</si>
  <si>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</si>
  <si>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</si>
  <si>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</si>
  <si>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</si>
  <si>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</si>
  <si>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</si>
  <si>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</si>
  <si>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</si>
  <si>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</si>
  <si>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</si>
  <si>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</si>
  <si>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</si>
  <si>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</si>
  <si>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</si>
  <si>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</si>
  <si>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</si>
  <si>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</si>
  <si>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</si>
  <si>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</si>
  <si>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</si>
  <si>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</si>
  <si>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</si>
  <si>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</si>
  <si>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</si>
  <si>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</si>
  <si>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</si>
  <si>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</si>
  <si>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</si>
  <si>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</si>
  <si>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</si>
  <si>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</si>
  <si>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</si>
  <si>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</si>
  <si>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</si>
  <si>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</si>
  <si>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</si>
  <si>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</si>
  <si>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</si>
  <si>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</si>
  <si>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</si>
  <si>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</si>
  <si>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</si>
  <si>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</si>
  <si>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</si>
  <si>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</si>
  <si>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</si>
  <si>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</si>
  <si>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</si>
  <si>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</si>
  <si>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</si>
  <si>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</si>
  <si>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</si>
  <si>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</si>
  <si>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</si>
  <si>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</si>
  <si>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</si>
  <si>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</si>
  <si>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</si>
  <si>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</si>
  <si>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</si>
  <si>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</si>
  <si>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</si>
  <si>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</si>
  <si>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</si>
  <si>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</si>
  <si>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</si>
  <si>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</si>
  <si>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</si>
  <si>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</si>
  <si>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</si>
  <si>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</si>
  <si>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</si>
  <si>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</si>
  <si>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</si>
  <si>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</si>
  <si>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</si>
  <si>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</si>
  <si>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</si>
  <si>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</si>
  <si>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</si>
  <si>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</si>
  <si>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</si>
  <si>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</si>
  <si>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</si>
  <si>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</si>
  <si>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</si>
  <si>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</si>
  <si>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</si>
  <si>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</si>
  <si>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</si>
  <si>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</si>
  <si>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</si>
  <si>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</si>
  <si>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</si>
  <si>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</si>
  <si>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</si>
  <si>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</si>
  <si>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</si>
  <si>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</si>
  <si>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</si>
  <si>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</si>
  <si>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</si>
  <si>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</si>
  <si>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</si>
  <si>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</si>
  <si>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</si>
  <si>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</si>
  <si>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</si>
  <si>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</si>
  <si>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</si>
  <si>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</si>
  <si>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</si>
  <si>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</si>
  <si>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</si>
  <si>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</si>
  <si>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</si>
  <si>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</si>
  <si>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</si>
  <si>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</si>
  <si>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</si>
  <si>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</si>
  <si>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</si>
  <si>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</si>
  <si>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</si>
  <si>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</si>
  <si>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</si>
  <si>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</si>
  <si>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</si>
  <si>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</si>
  <si>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</si>
  <si>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</si>
  <si>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</si>
  <si>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</si>
  <si>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</si>
  <si>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</si>
  <si>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</si>
  <si>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</si>
  <si>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</si>
  <si>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</si>
  <si>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</si>
  <si>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</si>
  <si>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</si>
  <si>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</si>
  <si>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</si>
  <si>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</si>
  <si>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</si>
  <si>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</si>
  <si>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</si>
  <si>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</si>
  <si>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</si>
  <si>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</si>
  <si>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</si>
  <si>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</si>
  <si>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</si>
  <si>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</si>
  <si>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</si>
  <si>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</si>
  <si>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</si>
  <si>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</si>
  <si>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</si>
  <si>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</si>
  <si>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</si>
  <si>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</si>
  <si>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</si>
  <si>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</si>
  <si>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</si>
  <si>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</si>
  <si>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</si>
  <si>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</si>
  <si>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</si>
  <si>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</si>
  <si>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</si>
  <si>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</si>
  <si>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</si>
  <si>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</si>
  <si>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</si>
  <si>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</si>
  <si>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</si>
  <si>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</si>
  <si>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</si>
  <si>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</si>
  <si>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</si>
  <si>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</si>
  <si>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</si>
  <si>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</si>
  <si>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</si>
  <si>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</si>
  <si>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</si>
  <si>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</si>
  <si>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</si>
  <si>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</si>
  <si>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</si>
  <si>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</si>
  <si>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</si>
  <si>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</si>
  <si>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</si>
  <si>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</si>
  <si>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</si>
  <si>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</si>
  <si>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</si>
  <si>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</si>
  <si>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</si>
  <si>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</si>
  <si>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</si>
  <si>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</si>
  <si>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</si>
  <si>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</si>
  <si>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</si>
  <si>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</si>
  <si>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</si>
  <si>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</si>
  <si>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</si>
  <si>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</si>
  <si>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</si>
  <si>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</si>
  <si>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</si>
  <si>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</si>
  <si>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</si>
  <si>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</si>
  <si>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</si>
  <si>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</si>
  <si>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</si>
  <si>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</si>
  <si>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</si>
  <si>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</si>
  <si>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</si>
  <si>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</si>
  <si>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</si>
  <si>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</si>
  <si>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</si>
  <si>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</si>
  <si>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</si>
  <si>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</si>
  <si>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</si>
  <si>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</si>
  <si>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</si>
  <si>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</si>
  <si>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</si>
  <si>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</si>
  <si>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</si>
  <si>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</si>
  <si>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</si>
  <si>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</si>
  <si>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</si>
  <si>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</si>
  <si>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</si>
  <si>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</si>
  <si>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</si>
  <si>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</si>
  <si>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</si>
  <si>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</si>
  <si>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</si>
  <si>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</si>
  <si>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</si>
  <si>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</si>
  <si>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</si>
  <si>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</si>
  <si>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</si>
  <si>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</si>
  <si>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</si>
  <si>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</si>
  <si>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</si>
  <si>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</si>
  <si>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</si>
  <si>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</si>
  <si>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</si>
  <si>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</si>
  <si>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</si>
  <si>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</si>
  <si>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</si>
  <si>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</si>
  <si>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</si>
  <si>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</si>
  <si>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</si>
  <si>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</si>
  <si>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</si>
  <si>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</si>
  <si>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</si>
  <si>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</si>
  <si>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</si>
  <si>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</si>
  <si>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</si>
  <si>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</si>
  <si>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</si>
  <si>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</si>
  <si>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</si>
  <si>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</si>
  <si>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</si>
  <si>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</si>
  <si>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</si>
  <si>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</si>
  <si>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</si>
  <si>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</si>
  <si>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</si>
  <si>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</si>
  <si>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</si>
  <si>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</si>
  <si>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</si>
  <si>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</si>
  <si>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</si>
  <si>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</si>
  <si>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</si>
  <si>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</si>
  <si>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</si>
  <si>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</si>
  <si>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</si>
  <si>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</si>
  <si>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</si>
  <si>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</si>
  <si>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</si>
  <si>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</si>
  <si>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</si>
  <si>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</si>
  <si>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</si>
  <si>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</si>
  <si>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</si>
  <si>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</si>
  <si>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</si>
  <si>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</si>
  <si>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</si>
  <si>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</si>
  <si>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</si>
  <si>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</si>
  <si>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</si>
  <si>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</si>
  <si>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</si>
  <si>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</si>
  <si>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</si>
  <si>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</si>
  <si>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</si>
  <si>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</si>
  <si>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</si>
  <si>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</si>
  <si>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</si>
  <si>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</si>
  <si>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</si>
  <si>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</si>
  <si>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</si>
  <si>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</si>
  <si>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</si>
  <si>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</si>
  <si>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</si>
  <si>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</si>
  <si>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</si>
  <si>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</si>
  <si>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</si>
  <si>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</si>
  <si>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</si>
  <si>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</si>
  <si>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</si>
  <si>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</si>
  <si>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</si>
  <si>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</si>
  <si>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</si>
  <si>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</si>
  <si>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</si>
  <si>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</si>
  <si>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</si>
  <si>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</si>
  <si>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</si>
  <si>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</si>
  <si>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</si>
  <si>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</si>
  <si>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</si>
  <si>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</si>
  <si>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</si>
  <si>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</si>
  <si>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</si>
  <si>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</si>
  <si>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</si>
  <si>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</si>
  <si>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</si>
  <si>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</si>
  <si>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</si>
  <si>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</si>
  <si>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</si>
  <si>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</si>
  <si>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</si>
  <si>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</si>
  <si>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</si>
  <si>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</si>
  <si>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</si>
  <si>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</si>
  <si>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</si>
  <si>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</si>
  <si>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</si>
  <si>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</si>
  <si>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</si>
  <si>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</si>
  <si>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</si>
  <si>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</si>
  <si>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</si>
  <si>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</si>
  <si>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</si>
  <si>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</si>
  <si>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</si>
  <si>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</si>
  <si>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</si>
  <si>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</si>
  <si>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</si>
  <si>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</si>
  <si>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</si>
  <si>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</si>
  <si>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</si>
  <si>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</si>
  <si>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</si>
  <si>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</si>
  <si>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</si>
  <si>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</si>
  <si>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</si>
  <si>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</si>
  <si>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</si>
  <si>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</si>
  <si>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</si>
  <si>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</si>
  <si>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</si>
  <si>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</si>
  <si>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</si>
  <si>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</si>
  <si>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</si>
  <si>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</si>
  <si>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</si>
  <si>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</si>
  <si>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</si>
  <si>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</si>
  <si>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</si>
  <si>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</si>
  <si>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</si>
  <si>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</si>
  <si>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</si>
  <si>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</si>
  <si>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</si>
  <si>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</si>
  <si>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</si>
  <si>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</si>
  <si>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</si>
  <si>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</si>
  <si>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</si>
  <si>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</si>
  <si>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</si>
  <si>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</si>
  <si>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</si>
  <si>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</si>
  <si>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</si>
  <si>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</si>
  <si>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</si>
  <si>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</si>
  <si>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</si>
  <si>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</si>
  <si>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</si>
  <si>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</si>
  <si>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</si>
  <si>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</si>
  <si>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</si>
  <si>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</si>
  <si>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</si>
  <si>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</si>
  <si>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</si>
  <si>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</si>
  <si>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</si>
  <si>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</si>
  <si>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</si>
  <si>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</si>
  <si>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</si>
  <si>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</si>
  <si>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</si>
  <si>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</si>
  <si>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</si>
  <si>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</si>
  <si>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</si>
  <si>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</si>
  <si>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</si>
  <si>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</si>
  <si>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</si>
  <si>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</si>
  <si>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</si>
  <si>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</si>
  <si>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</si>
  <si>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</si>
  <si>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</si>
  <si>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</si>
  <si>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x</t>
  </si>
  <si>
    <t>Lauterbach &amp; Amen, LLP</t>
  </si>
  <si>
    <t>Kane</t>
  </si>
  <si>
    <t>Matt Beran</t>
  </si>
  <si>
    <t>Fox Valley Career Center</t>
  </si>
  <si>
    <t>668 N. River Road</t>
  </si>
  <si>
    <t>47W326 Keslinger Road</t>
  </si>
  <si>
    <t>Naperville</t>
  </si>
  <si>
    <t>IL</t>
  </si>
  <si>
    <t>Maple Park</t>
  </si>
  <si>
    <t>10161@kaneland.org</t>
  </si>
  <si>
    <t>065-033233</t>
  </si>
  <si>
    <t>mberan@lauterbachamen.com</t>
  </si>
  <si>
    <t>Dr. Todd Leden</t>
  </si>
  <si>
    <t>todd.leden@kaneland.org</t>
  </si>
  <si>
    <t>N/A</t>
  </si>
  <si>
    <t>Kaneland CUSD 302</t>
  </si>
  <si>
    <t>Elgin &amp; Waubonsee Community College</t>
  </si>
  <si>
    <t>Revenues 9-14 (Line 107): $8,717 from Miscellaneous Revenues</t>
  </si>
  <si>
    <t>Expenditures 15-22 (Line 73): $13,784 from Copier Lease Payments</t>
  </si>
  <si>
    <t>Expenditures 15-22 (Line 83): $54,026 from payments to other governmental units</t>
  </si>
  <si>
    <t>ED - ASSESSMENTS - OTHER</t>
  </si>
  <si>
    <t>GCA SERVICES GROUP</t>
  </si>
  <si>
    <t>ED - INSTRUCTIONAL - OTHER</t>
  </si>
  <si>
    <t>HAIR PROFESSIONALS SCHOOL OF COSMETOLOGY INC</t>
  </si>
  <si>
    <t>HAIR PROFESSIONALS CAREER COLLEGE</t>
  </si>
  <si>
    <t>10-2640-300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</si>
</sst>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1</xdr:row>
          <xdr:rowOff>2598</xdr:rowOff>
        </xdr:from>
        <xdr:to>
          <xdr:col>1</xdr:col>
          <xdr:colOff>911802</xdr:colOff>
          <xdr:row>5</xdr:row>
          <xdr:rowOff>51089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4</xdr:row>
          <xdr:rowOff>161925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sheetPr>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0" t="s">
        <v>405</v>
      </c>
      <c r="J1" s="1981"/>
      <c r="K1" s="1981"/>
      <c r="L1" s="1981"/>
      <c r="M1" s="1981"/>
      <c r="N1" s="1981"/>
      <c r="O1" s="1981"/>
      <c r="P1" s="1981"/>
      <c r="Q1" s="1981"/>
      <c r="R1" s="1981"/>
      <c r="S1" s="1981"/>
    </row>
    <row r="2" spans="1:28" ht="12" customHeight="1" x14ac:dyDescent="0.2">
      <c r="A2" s="47" t="s">
        <v>1993</v>
      </c>
      <c r="D2" s="48"/>
      <c r="I2" s="1982" t="s">
        <v>979</v>
      </c>
      <c r="J2" s="1981"/>
      <c r="K2" s="1981"/>
      <c r="L2" s="1981"/>
      <c r="M2" s="1981"/>
      <c r="N2" s="1981"/>
      <c r="O2" s="1981"/>
      <c r="P2" s="1981"/>
      <c r="Q2" s="1981"/>
      <c r="R2" s="1981"/>
      <c r="S2" s="1981"/>
    </row>
    <row r="3" spans="1:28" ht="12" customHeight="1" x14ac:dyDescent="0.2">
      <c r="A3" s="155" t="s">
        <v>1945</v>
      </c>
      <c r="B3" s="156"/>
      <c r="C3" s="156"/>
      <c r="D3" s="157"/>
      <c r="I3" s="1982" t="s">
        <v>52</v>
      </c>
      <c r="J3" s="1981"/>
      <c r="K3" s="1981"/>
      <c r="L3" s="1981"/>
      <c r="M3" s="1981"/>
      <c r="N3" s="1981"/>
      <c r="O3" s="1981"/>
      <c r="P3" s="1981"/>
      <c r="Q3" s="1981"/>
      <c r="R3" s="1981"/>
      <c r="S3" s="1981"/>
    </row>
    <row r="4" spans="1:28" ht="12" customHeight="1" x14ac:dyDescent="0.2">
      <c r="A4" s="37"/>
      <c r="I4" s="1982" t="s">
        <v>524</v>
      </c>
      <c r="J4" s="1981"/>
      <c r="K4" s="1981"/>
      <c r="L4" s="1981"/>
      <c r="M4" s="1981"/>
      <c r="N4" s="1981"/>
      <c r="O4" s="1981"/>
      <c r="P4" s="1981"/>
      <c r="Q4" s="1981"/>
      <c r="R4" s="1981"/>
      <c r="S4" s="1981"/>
    </row>
    <row r="5" spans="1:28" ht="14.1" customHeight="1" x14ac:dyDescent="0.2">
      <c r="B5" s="104"/>
      <c r="C5" s="26" t="s">
        <v>910</v>
      </c>
      <c r="D5" s="84"/>
      <c r="E5" s="84"/>
      <c r="H5" s="38"/>
      <c r="I5" s="1990" t="s">
        <v>680</v>
      </c>
      <c r="J5" s="1989"/>
      <c r="K5" s="1989"/>
      <c r="L5" s="1989"/>
      <c r="M5" s="1989"/>
      <c r="N5" s="1989"/>
      <c r="O5" s="1989"/>
      <c r="P5" s="1989"/>
      <c r="Q5" s="1989"/>
      <c r="R5" s="1989"/>
      <c r="S5" s="1989"/>
    </row>
    <row r="6" spans="1:28" ht="14.1" customHeight="1" x14ac:dyDescent="0.2">
      <c r="B6" s="104" t="s">
        <v>2064</v>
      </c>
      <c r="C6" s="26" t="s">
        <v>911</v>
      </c>
      <c r="D6" s="84"/>
      <c r="E6" s="84"/>
      <c r="I6" s="1988" t="s">
        <v>883</v>
      </c>
      <c r="J6" s="1989"/>
      <c r="K6" s="1989"/>
      <c r="L6" s="1989"/>
      <c r="M6" s="1989"/>
      <c r="N6" s="1989"/>
      <c r="O6" s="1989"/>
      <c r="P6" s="1989"/>
      <c r="Q6" s="1989"/>
      <c r="R6" s="1989"/>
      <c r="S6" s="1989"/>
    </row>
    <row r="7" spans="1:28" ht="12.2" customHeight="1" x14ac:dyDescent="0.2">
      <c r="I7" s="1983">
        <v>43646</v>
      </c>
      <c r="J7" s="1984"/>
      <c r="K7" s="1984"/>
      <c r="L7" s="1984"/>
      <c r="M7" s="1984"/>
      <c r="N7" s="1984"/>
      <c r="O7" s="1984"/>
      <c r="P7" s="1984"/>
      <c r="Q7" s="1984"/>
      <c r="R7" s="1984"/>
      <c r="S7" s="198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5" t="s">
        <v>674</v>
      </c>
      <c r="J9" s="1986"/>
      <c r="K9" s="1986"/>
      <c r="L9" s="1986"/>
      <c r="M9" s="1986"/>
      <c r="N9" s="1986"/>
      <c r="O9" s="1986"/>
      <c r="P9" s="1986"/>
      <c r="Q9" s="1986"/>
      <c r="R9" s="1986"/>
      <c r="S9" s="1987"/>
      <c r="T9" s="2001" t="s">
        <v>533</v>
      </c>
      <c r="U9" s="2002"/>
      <c r="V9" s="2002"/>
      <c r="W9" s="2002"/>
      <c r="X9" s="2002"/>
      <c r="Y9" s="2002"/>
      <c r="Z9" s="2002"/>
      <c r="AA9" s="2003"/>
    </row>
    <row r="10" spans="1:28" ht="13.5" customHeight="1" x14ac:dyDescent="0.2">
      <c r="A10" s="2008" t="s">
        <v>675</v>
      </c>
      <c r="B10" s="2009"/>
      <c r="C10" s="2009"/>
      <c r="D10" s="2009"/>
      <c r="E10" s="2009"/>
      <c r="F10" s="2009"/>
      <c r="G10" s="2009"/>
      <c r="H10" s="2010"/>
      <c r="I10" s="29"/>
      <c r="J10" s="30"/>
      <c r="K10" s="28"/>
      <c r="R10" s="30"/>
      <c r="S10" s="30"/>
      <c r="T10" s="2004"/>
      <c r="U10" s="1989"/>
      <c r="V10" s="1989"/>
      <c r="W10" s="1989"/>
      <c r="X10" s="1989"/>
      <c r="Y10" s="1989"/>
      <c r="Z10" s="1989"/>
      <c r="AA10" s="1995"/>
    </row>
    <row r="11" spans="1:28" ht="14.25" customHeight="1" x14ac:dyDescent="0.2">
      <c r="A11" s="2011" t="s">
        <v>955</v>
      </c>
      <c r="B11" s="2012"/>
      <c r="C11" s="2012"/>
      <c r="D11" s="2012"/>
      <c r="E11" s="2012"/>
      <c r="F11" s="2012"/>
      <c r="G11" s="2012"/>
      <c r="H11" s="2013"/>
      <c r="I11" s="27"/>
      <c r="J11" s="74"/>
      <c r="K11" s="27"/>
      <c r="O11" s="148"/>
      <c r="P11" s="100" t="s">
        <v>201</v>
      </c>
      <c r="Q11" s="30"/>
      <c r="R11" s="28"/>
      <c r="S11" s="27"/>
      <c r="T11" s="2005"/>
      <c r="U11" s="2006"/>
      <c r="V11" s="2006"/>
      <c r="W11" s="2006"/>
      <c r="X11" s="2006"/>
      <c r="Y11" s="2006"/>
      <c r="Z11" s="2006"/>
      <c r="AA11" s="2007"/>
    </row>
    <row r="12" spans="1:28" ht="13.5" customHeight="1" x14ac:dyDescent="0.2">
      <c r="A12" s="85" t="s">
        <v>925</v>
      </c>
      <c r="B12" s="76"/>
      <c r="C12" s="76"/>
      <c r="D12" s="76"/>
      <c r="E12" s="76"/>
      <c r="F12" s="76"/>
      <c r="G12" s="76"/>
      <c r="H12" s="53"/>
      <c r="I12" s="29"/>
      <c r="J12" s="30"/>
      <c r="K12" s="28"/>
      <c r="O12" s="149" t="s">
        <v>2064</v>
      </c>
      <c r="P12" s="100" t="s">
        <v>202</v>
      </c>
      <c r="Q12" s="74"/>
      <c r="R12" s="30"/>
      <c r="S12" s="30"/>
      <c r="T12" s="85" t="s">
        <v>265</v>
      </c>
      <c r="U12" s="51"/>
      <c r="V12" s="51"/>
      <c r="W12" s="51"/>
      <c r="X12" s="51"/>
      <c r="Y12" s="45"/>
      <c r="Z12" s="45"/>
      <c r="AA12" s="46"/>
    </row>
    <row r="13" spans="1:28" ht="13.5" customHeight="1" x14ac:dyDescent="0.2">
      <c r="A13" s="2015">
        <v>31045302041</v>
      </c>
      <c r="B13" s="2016"/>
      <c r="C13" s="2016"/>
      <c r="D13" s="2016"/>
      <c r="E13" s="2016"/>
      <c r="F13" s="2016"/>
      <c r="G13" s="2016"/>
      <c r="H13" s="2017"/>
      <c r="I13" s="31"/>
      <c r="J13" s="30"/>
      <c r="K13" s="28"/>
      <c r="L13" s="30"/>
      <c r="M13" s="30"/>
      <c r="N13" s="30"/>
      <c r="O13" s="30"/>
      <c r="P13" s="30"/>
      <c r="Q13" s="30"/>
      <c r="R13" s="30"/>
      <c r="S13" s="30"/>
      <c r="T13" s="2020" t="s">
        <v>2066</v>
      </c>
      <c r="U13" s="2021"/>
      <c r="V13" s="2021"/>
      <c r="W13" s="2021"/>
      <c r="X13" s="2021"/>
      <c r="Y13" s="2022"/>
      <c r="Z13" s="2022"/>
      <c r="AA13" s="202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4" t="s">
        <v>2067</v>
      </c>
      <c r="B15" s="2018"/>
      <c r="C15" s="2018"/>
      <c r="D15" s="2018"/>
      <c r="E15" s="2018"/>
      <c r="F15" s="2018"/>
      <c r="G15" s="2018"/>
      <c r="H15" s="2019"/>
      <c r="T15" s="2024" t="s">
        <v>2068</v>
      </c>
      <c r="U15" s="1968"/>
      <c r="V15" s="1968"/>
      <c r="W15" s="1968"/>
      <c r="X15" s="1968"/>
      <c r="Y15" s="2025"/>
      <c r="Z15" s="2025"/>
      <c r="AA15" s="202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4" t="s">
        <v>2069</v>
      </c>
      <c r="B17" s="1975"/>
      <c r="C17" s="1975"/>
      <c r="D17" s="1975"/>
      <c r="E17" s="1975"/>
      <c r="F17" s="1975"/>
      <c r="G17" s="1975"/>
      <c r="H17" s="2000"/>
      <c r="T17" s="2031" t="s">
        <v>2070</v>
      </c>
      <c r="U17" s="2032"/>
      <c r="V17" s="2032"/>
      <c r="W17" s="2032"/>
      <c r="X17" s="2032"/>
      <c r="Y17" s="2032"/>
      <c r="Z17" s="2032"/>
      <c r="AA17" s="2033"/>
    </row>
    <row r="18" spans="1:27" ht="13.5" customHeight="1" x14ac:dyDescent="0.2">
      <c r="A18" s="85" t="s">
        <v>530</v>
      </c>
      <c r="B18" s="76"/>
      <c r="C18" s="72"/>
      <c r="D18" s="76"/>
      <c r="E18" s="76"/>
      <c r="F18" s="76"/>
      <c r="G18" s="76"/>
      <c r="H18" s="56"/>
      <c r="I18" s="1999" t="s">
        <v>676</v>
      </c>
      <c r="J18" s="1950"/>
      <c r="K18" s="1950"/>
      <c r="L18" s="1950"/>
      <c r="M18" s="1950"/>
      <c r="N18" s="1950"/>
      <c r="O18" s="1950"/>
      <c r="P18" s="1950"/>
      <c r="Q18" s="1950"/>
      <c r="R18" s="1950"/>
      <c r="S18" s="1951"/>
      <c r="T18" s="85" t="s">
        <v>711</v>
      </c>
      <c r="U18" s="51"/>
      <c r="V18" s="72"/>
      <c r="W18" s="50"/>
      <c r="X18" s="85" t="s">
        <v>266</v>
      </c>
      <c r="Y18" s="81"/>
      <c r="Z18" s="159" t="s">
        <v>677</v>
      </c>
      <c r="AA18" s="46"/>
    </row>
    <row r="19" spans="1:27" ht="13.5" customHeight="1" x14ac:dyDescent="0.2">
      <c r="A19" s="2014" t="s">
        <v>2071</v>
      </c>
      <c r="B19" s="1960"/>
      <c r="C19" s="1960"/>
      <c r="D19" s="1960"/>
      <c r="E19" s="1960"/>
      <c r="F19" s="1960"/>
      <c r="G19" s="1960"/>
      <c r="H19" s="1940"/>
      <c r="I19" s="30"/>
      <c r="J19" s="99"/>
      <c r="K19" s="40"/>
      <c r="L19" s="38"/>
      <c r="M19" s="112" t="s">
        <v>315</v>
      </c>
      <c r="P19" s="27"/>
      <c r="Q19" s="27"/>
      <c r="R19" s="27"/>
      <c r="S19" s="31"/>
      <c r="T19" s="2014" t="s">
        <v>2072</v>
      </c>
      <c r="U19" s="1939"/>
      <c r="V19" s="1939"/>
      <c r="W19" s="1940"/>
      <c r="X19" s="2029" t="s">
        <v>2073</v>
      </c>
      <c r="Y19" s="2030"/>
      <c r="Z19" s="2027">
        <v>60563</v>
      </c>
      <c r="AA19" s="202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8" t="s">
        <v>2074</v>
      </c>
      <c r="B21" s="1939"/>
      <c r="C21" s="1939"/>
      <c r="D21" s="1939"/>
      <c r="E21" s="1939"/>
      <c r="F21" s="1939"/>
      <c r="G21" s="1939"/>
      <c r="H21" s="1940"/>
      <c r="I21" s="1994" t="s">
        <v>678</v>
      </c>
      <c r="J21" s="1989"/>
      <c r="K21" s="1989"/>
      <c r="L21" s="1989"/>
      <c r="M21" s="1989"/>
      <c r="N21" s="1989"/>
      <c r="O21" s="1989"/>
      <c r="P21" s="1989"/>
      <c r="Q21" s="1989"/>
      <c r="R21" s="1989"/>
      <c r="S21" s="1995"/>
      <c r="T21" s="2038">
        <v>6303931483</v>
      </c>
      <c r="U21" s="2039"/>
      <c r="V21" s="2039"/>
      <c r="W21" s="2039"/>
      <c r="X21" s="2044">
        <v>6303932516</v>
      </c>
      <c r="Y21" s="2045"/>
      <c r="Z21" s="2045"/>
      <c r="AA21" s="2046"/>
    </row>
    <row r="22" spans="1:27" ht="13.5" customHeight="1" x14ac:dyDescent="0.2">
      <c r="A22" s="87" t="s">
        <v>531</v>
      </c>
      <c r="B22" s="59"/>
      <c r="C22" s="59"/>
      <c r="D22" s="59"/>
      <c r="E22" s="59"/>
      <c r="F22" s="59"/>
      <c r="G22" s="59"/>
      <c r="H22" s="60"/>
      <c r="I22" s="1996" t="s">
        <v>1429</v>
      </c>
      <c r="J22" s="1997"/>
      <c r="K22" s="1997"/>
      <c r="L22" s="1997"/>
      <c r="M22" s="1997"/>
      <c r="N22" s="1997"/>
      <c r="O22" s="1997"/>
      <c r="P22" s="1997"/>
      <c r="Q22" s="1997"/>
      <c r="R22" s="1997"/>
      <c r="S22" s="1998"/>
      <c r="T22" s="85" t="s">
        <v>1516</v>
      </c>
      <c r="U22" s="51"/>
      <c r="V22" s="72"/>
      <c r="W22" s="51"/>
      <c r="X22" s="160" t="s">
        <v>1318</v>
      </c>
      <c r="Z22" s="45"/>
      <c r="AA22" s="46"/>
    </row>
    <row r="23" spans="1:27" ht="13.5" customHeight="1" x14ac:dyDescent="0.2">
      <c r="A23" s="1991" t="s">
        <v>2075</v>
      </c>
      <c r="B23" s="1992"/>
      <c r="C23" s="1992"/>
      <c r="D23" s="1992"/>
      <c r="E23" s="1992"/>
      <c r="F23" s="1992"/>
      <c r="G23" s="1992"/>
      <c r="H23" s="1993"/>
      <c r="T23" s="1974" t="s">
        <v>2076</v>
      </c>
      <c r="U23" s="2037"/>
      <c r="V23" s="2037"/>
      <c r="W23" s="2037"/>
      <c r="X23" s="2041">
        <v>44469</v>
      </c>
      <c r="Y23" s="2042"/>
      <c r="Z23" s="2042"/>
      <c r="AA23" s="2043"/>
    </row>
    <row r="24" spans="1:27" ht="14.1" customHeight="1" x14ac:dyDescent="0.2">
      <c r="A24" s="88" t="s">
        <v>677</v>
      </c>
      <c r="B24" s="49"/>
      <c r="C24" s="49"/>
      <c r="D24" s="49"/>
      <c r="E24" s="49"/>
      <c r="F24" s="49"/>
      <c r="G24" s="49"/>
      <c r="H24" s="61"/>
      <c r="J24" s="1961" t="str">
        <f>IF(B5="x",IF(AUDITCHECK!D29="AFR form Incomplete.","",IF(AUDITCHECK!D29="Deficit reduction plan is required.","School District must complete a deficit reduction plan in the 2019-2020 Budget",)),"")</f>
        <v/>
      </c>
      <c r="K24" s="1961"/>
      <c r="L24" s="1961"/>
      <c r="M24" s="1961"/>
      <c r="N24" s="1961"/>
      <c r="O24" s="1961"/>
      <c r="P24" s="1961"/>
      <c r="Q24" s="1961"/>
      <c r="R24" s="1961"/>
      <c r="S24" s="1962"/>
      <c r="T24" s="105" t="s">
        <v>531</v>
      </c>
      <c r="U24" s="106"/>
      <c r="V24" s="106"/>
      <c r="W24" s="106"/>
      <c r="X24" s="107"/>
      <c r="Y24" s="107"/>
      <c r="Z24" s="107"/>
      <c r="AA24" s="108"/>
    </row>
    <row r="25" spans="1:27" ht="14.1" customHeight="1" x14ac:dyDescent="0.2">
      <c r="A25" s="1938">
        <v>60151</v>
      </c>
      <c r="B25" s="1939"/>
      <c r="C25" s="1939"/>
      <c r="D25" s="1939"/>
      <c r="E25" s="1939"/>
      <c r="F25" s="1939"/>
      <c r="G25" s="1939"/>
      <c r="H25" s="1940"/>
      <c r="I25" s="113"/>
      <c r="J25" s="1963"/>
      <c r="K25" s="1963"/>
      <c r="L25" s="1963"/>
      <c r="M25" s="1963"/>
      <c r="N25" s="1963"/>
      <c r="O25" s="1963"/>
      <c r="P25" s="1963"/>
      <c r="Q25" s="1963"/>
      <c r="R25" s="1963"/>
      <c r="S25" s="1964"/>
      <c r="T25" s="2034" t="s">
        <v>2077</v>
      </c>
      <c r="U25" s="2035"/>
      <c r="V25" s="2035"/>
      <c r="W25" s="2035"/>
      <c r="X25" s="2035"/>
      <c r="Y25" s="2035"/>
      <c r="Z25" s="2035"/>
      <c r="AA25" s="203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9" t="s">
        <v>1511</v>
      </c>
      <c r="J27" s="1950"/>
      <c r="K27" s="1950"/>
      <c r="L27" s="1950"/>
      <c r="M27" s="1950"/>
      <c r="N27" s="1950"/>
      <c r="O27" s="1950"/>
      <c r="P27" s="1950"/>
      <c r="Q27" s="1950"/>
      <c r="R27" s="1950"/>
      <c r="S27" s="195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0"/>
      <c r="Q35" s="1939"/>
      <c r="R35" s="193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4" t="s">
        <v>2078</v>
      </c>
      <c r="B38" s="1975"/>
      <c r="C38" s="1975"/>
      <c r="D38" s="1975"/>
      <c r="E38" s="1975"/>
      <c r="F38" s="1939"/>
      <c r="G38" s="1939"/>
      <c r="H38" s="1940"/>
      <c r="I38" s="1967"/>
      <c r="J38" s="1968"/>
      <c r="K38" s="1968"/>
      <c r="L38" s="1968"/>
      <c r="M38" s="1968"/>
      <c r="N38" s="1968"/>
      <c r="O38" s="1968"/>
      <c r="P38" s="1969"/>
      <c r="Q38" s="1969"/>
      <c r="R38" s="1969"/>
      <c r="S38" s="1970"/>
      <c r="T38" s="2024"/>
      <c r="U38" s="1968"/>
      <c r="V38" s="1968"/>
      <c r="W38" s="1968"/>
      <c r="X38" s="1969"/>
      <c r="Y38" s="1969"/>
      <c r="Z38" s="1969"/>
      <c r="AA38" s="1970"/>
    </row>
    <row r="39" spans="1:27" ht="12" customHeight="1" x14ac:dyDescent="0.2">
      <c r="A39" s="1944" t="s">
        <v>531</v>
      </c>
      <c r="B39" s="1945"/>
      <c r="C39" s="72"/>
      <c r="D39" s="69"/>
      <c r="E39" s="69"/>
      <c r="F39" s="79"/>
      <c r="G39" s="69"/>
      <c r="H39" s="56"/>
      <c r="I39" s="1944" t="s">
        <v>531</v>
      </c>
      <c r="J39" s="1945"/>
      <c r="K39" s="1945"/>
      <c r="L39" s="1945"/>
      <c r="M39" s="1945"/>
      <c r="N39" s="67"/>
      <c r="O39" s="72"/>
      <c r="P39" s="72"/>
      <c r="Q39" s="78"/>
      <c r="R39" s="72"/>
      <c r="S39" s="56"/>
      <c r="T39" s="72" t="s">
        <v>531</v>
      </c>
      <c r="U39" s="51"/>
      <c r="V39" s="72"/>
      <c r="W39" s="50"/>
      <c r="X39" s="78"/>
      <c r="Y39" s="45"/>
      <c r="Z39" s="45"/>
      <c r="AA39" s="46"/>
    </row>
    <row r="40" spans="1:27" ht="13.5" customHeight="1" x14ac:dyDescent="0.2">
      <c r="A40" s="1952" t="s">
        <v>2079</v>
      </c>
      <c r="B40" s="1953"/>
      <c r="C40" s="1954"/>
      <c r="D40" s="1954"/>
      <c r="E40" s="1954"/>
      <c r="F40" s="1955"/>
      <c r="G40" s="1955"/>
      <c r="H40" s="1956"/>
      <c r="I40" s="1977"/>
      <c r="J40" s="1978"/>
      <c r="K40" s="1978"/>
      <c r="L40" s="1978"/>
      <c r="M40" s="1978"/>
      <c r="N40" s="1978"/>
      <c r="O40" s="1978"/>
      <c r="P40" s="1978"/>
      <c r="Q40" s="1978"/>
      <c r="R40" s="1978"/>
      <c r="S40" s="1979"/>
      <c r="T40" s="1977"/>
      <c r="U40" s="2040"/>
      <c r="V40" s="1978"/>
      <c r="W40" s="1978"/>
      <c r="X40" s="1978"/>
      <c r="Y40" s="1978"/>
      <c r="Z40" s="1978"/>
      <c r="AA40" s="197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6">
        <v>6303655100</v>
      </c>
      <c r="B42" s="1958"/>
      <c r="C42" s="1959"/>
      <c r="D42" s="1957">
        <v>6303658421</v>
      </c>
      <c r="E42" s="1958"/>
      <c r="F42" s="1958"/>
      <c r="G42" s="1958"/>
      <c r="H42" s="1959"/>
      <c r="I42" s="1941"/>
      <c r="J42" s="1942"/>
      <c r="K42" s="1942"/>
      <c r="L42" s="1942"/>
      <c r="M42" s="1942"/>
      <c r="N42" s="1942"/>
      <c r="O42" s="1943"/>
      <c r="P42" s="1976"/>
      <c r="Q42" s="1942"/>
      <c r="R42" s="1942"/>
      <c r="S42" s="1943"/>
      <c r="T42" s="1941"/>
      <c r="U42" s="1942"/>
      <c r="V42" s="1942"/>
      <c r="W42" s="1943"/>
      <c r="X42" s="1976"/>
      <c r="Y42" s="1942"/>
      <c r="Z42" s="1942"/>
      <c r="AA42" s="194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1"/>
      <c r="B44" s="1972"/>
      <c r="C44" s="1972"/>
      <c r="D44" s="1972"/>
      <c r="E44" s="1972"/>
      <c r="F44" s="1972"/>
      <c r="G44" s="1972"/>
      <c r="H44" s="1973"/>
      <c r="I44" s="1946"/>
      <c r="J44" s="1947"/>
      <c r="K44" s="1947"/>
      <c r="L44" s="1947"/>
      <c r="M44" s="1947"/>
      <c r="N44" s="1947"/>
      <c r="O44" s="1947"/>
      <c r="P44" s="1947"/>
      <c r="Q44" s="1947"/>
      <c r="R44" s="1947"/>
      <c r="S44" s="1948"/>
      <c r="T44" s="1946"/>
      <c r="U44" s="1965"/>
      <c r="V44" s="1965"/>
      <c r="W44" s="1965"/>
      <c r="X44" s="1965"/>
      <c r="Y44" s="1965"/>
      <c r="Z44" s="1947"/>
      <c r="AA44" s="1948"/>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F36"/>
  <sheetViews>
    <sheetView showGridLines="0" defaultGridColor="0" topLeftCell="A4" colorId="8" zoomScale="110" zoomScaleNormal="110" workbookViewId="0">
      <selection activeCell="H1" sqref="H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colorId="8" zoomScale="110" zoomScaleNormal="110" workbookViewId="0">
      <selection activeCell="H1" sqref="H1"/>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629</v>
      </c>
      <c r="B1" s="2200"/>
      <c r="C1" s="721"/>
    </row>
    <row r="2" spans="1:7" ht="33.75" x14ac:dyDescent="0.2">
      <c r="A2" s="2207" t="s">
        <v>1802</v>
      </c>
      <c r="B2" s="2208"/>
      <c r="C2" s="1884" t="s">
        <v>1956</v>
      </c>
      <c r="D2" s="723" t="s">
        <v>1957</v>
      </c>
      <c r="E2" s="723" t="s">
        <v>1958</v>
      </c>
      <c r="F2" s="1884" t="s">
        <v>1959</v>
      </c>
    </row>
    <row r="3" spans="1:7" ht="15.75" customHeight="1" x14ac:dyDescent="0.2">
      <c r="A3" s="2209" t="s">
        <v>1114</v>
      </c>
      <c r="B3" s="2210"/>
      <c r="C3" s="2203"/>
      <c r="D3" s="2204"/>
      <c r="E3" s="2204"/>
      <c r="F3" s="2205"/>
    </row>
    <row r="4" spans="1:7" ht="12.75" customHeight="1" thickBot="1" x14ac:dyDescent="0.25">
      <c r="A4" s="2197" t="s">
        <v>630</v>
      </c>
      <c r="B4" s="2198"/>
      <c r="C4" s="581"/>
      <c r="D4" s="581"/>
      <c r="E4" s="581"/>
      <c r="F4" s="1755">
        <f>SUM(C4+D4)-E4</f>
        <v>0</v>
      </c>
    </row>
    <row r="5" spans="1:7" ht="15.75" customHeight="1" thickTop="1" x14ac:dyDescent="0.2">
      <c r="A5" s="2201" t="s">
        <v>1110</v>
      </c>
      <c r="B5" s="2196"/>
      <c r="C5" s="2190"/>
      <c r="D5" s="2191"/>
      <c r="E5" s="2191"/>
      <c r="F5" s="2192"/>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3" t="s">
        <v>631</v>
      </c>
      <c r="B15" s="2194"/>
      <c r="C15" s="1755">
        <f>SUM(C6:C14)</f>
        <v>0</v>
      </c>
      <c r="D15" s="1755">
        <f>SUM(D6:D14)</f>
        <v>0</v>
      </c>
      <c r="E15" s="1755">
        <f>SUM(E6:E14)</f>
        <v>0</v>
      </c>
      <c r="F15" s="1755">
        <f>SUM(F6:F14)</f>
        <v>0</v>
      </c>
      <c r="G15" s="552"/>
    </row>
    <row r="16" spans="1:7" s="202" customFormat="1" ht="15.75" customHeight="1" thickTop="1" x14ac:dyDescent="0.2">
      <c r="A16" s="2206" t="s">
        <v>1111</v>
      </c>
      <c r="B16" s="2196"/>
      <c r="C16" s="2190"/>
      <c r="D16" s="2191"/>
      <c r="E16" s="2191"/>
      <c r="F16" s="2192"/>
    </row>
    <row r="17" spans="1:11" ht="12.75" customHeight="1" thickBot="1" x14ac:dyDescent="0.25">
      <c r="A17" s="2188" t="s">
        <v>64</v>
      </c>
      <c r="B17" s="2189"/>
      <c r="C17" s="726"/>
      <c r="D17" s="585"/>
      <c r="E17" s="726"/>
      <c r="F17" s="1755">
        <f>SUM(C17+D17)-E17</f>
        <v>0</v>
      </c>
    </row>
    <row r="18" spans="1:11" ht="12.75" customHeight="1" thickTop="1" thickBot="1" x14ac:dyDescent="0.25">
      <c r="A18" s="2188" t="s">
        <v>6</v>
      </c>
      <c r="B18" s="2189"/>
      <c r="C18" s="726"/>
      <c r="D18" s="585"/>
      <c r="E18" s="726"/>
      <c r="F18" s="1755">
        <f>SUM(C18+D18)-E18</f>
        <v>0</v>
      </c>
    </row>
    <row r="19" spans="1:11" ht="12.75" customHeight="1" thickTop="1" thickBot="1" x14ac:dyDescent="0.25">
      <c r="A19" s="2188" t="s">
        <v>388</v>
      </c>
      <c r="B19" s="2189"/>
      <c r="C19" s="726"/>
      <c r="D19" s="585"/>
      <c r="E19" s="726"/>
      <c r="F19" s="1755">
        <f>SUM(C19+D19)-E19</f>
        <v>0</v>
      </c>
    </row>
    <row r="20" spans="1:11" ht="12.75" customHeight="1" thickTop="1" thickBot="1" x14ac:dyDescent="0.25">
      <c r="A20" s="2188" t="s">
        <v>448</v>
      </c>
      <c r="B20" s="2189"/>
      <c r="C20" s="726"/>
      <c r="D20" s="585"/>
      <c r="E20" s="726"/>
      <c r="F20" s="1755">
        <f>SUM(C20+D20)-E20</f>
        <v>0</v>
      </c>
    </row>
    <row r="21" spans="1:11" ht="14.25" thickTop="1" thickBot="1" x14ac:dyDescent="0.25">
      <c r="A21" s="2193" t="s">
        <v>632</v>
      </c>
      <c r="B21" s="2194"/>
      <c r="C21" s="1755">
        <f>SUM(C17:C20)</f>
        <v>0</v>
      </c>
      <c r="D21" s="1755">
        <f>SUM(D17:D20)</f>
        <v>0</v>
      </c>
      <c r="E21" s="1755">
        <f>SUM(E17:E20)</f>
        <v>0</v>
      </c>
      <c r="F21" s="1755">
        <f>SUM(F17:F20)</f>
        <v>0</v>
      </c>
      <c r="G21" s="552"/>
    </row>
    <row r="22" spans="1:11" ht="15.75" customHeight="1" thickTop="1" x14ac:dyDescent="0.2">
      <c r="A22" s="2195" t="s">
        <v>1112</v>
      </c>
      <c r="B22" s="2196"/>
      <c r="C22" s="2190"/>
      <c r="D22" s="2191"/>
      <c r="E22" s="2191"/>
      <c r="F22" s="2192"/>
    </row>
    <row r="23" spans="1:11" ht="13.5" thickBot="1" x14ac:dyDescent="0.25">
      <c r="A23" s="2197" t="s">
        <v>633</v>
      </c>
      <c r="B23" s="2198"/>
      <c r="C23" s="581"/>
      <c r="D23" s="581"/>
      <c r="E23" s="581"/>
      <c r="F23" s="1755">
        <f>SUM(C23+D23)-E23</f>
        <v>0</v>
      </c>
      <c r="G23" s="552"/>
    </row>
    <row r="24" spans="1:11" ht="15.75" customHeight="1" thickTop="1" x14ac:dyDescent="0.2">
      <c r="A24" s="2195" t="s">
        <v>1113</v>
      </c>
      <c r="B24" s="2196"/>
      <c r="C24" s="2190"/>
      <c r="D24" s="2191"/>
      <c r="E24" s="2191"/>
      <c r="F24" s="2192"/>
    </row>
    <row r="25" spans="1:11" ht="13.5" thickBot="1" x14ac:dyDescent="0.25">
      <c r="A25" s="2197" t="s">
        <v>634</v>
      </c>
      <c r="B25" s="2198"/>
      <c r="C25" s="581"/>
      <c r="D25" s="581"/>
      <c r="E25" s="581"/>
      <c r="F25" s="1755">
        <f>SUM(C25+D25)-E25</f>
        <v>0</v>
      </c>
      <c r="G25" s="552"/>
    </row>
    <row r="26" spans="1:11" ht="15.75" customHeight="1" thickTop="1" x14ac:dyDescent="0.2">
      <c r="A26" s="2201" t="s">
        <v>657</v>
      </c>
      <c r="B26" s="2196"/>
      <c r="C26" s="727"/>
      <c r="D26" s="727"/>
      <c r="E26" s="727"/>
      <c r="F26" s="728"/>
    </row>
    <row r="27" spans="1:11" ht="13.5" thickBot="1" x14ac:dyDescent="0.25">
      <c r="A27" s="2193" t="s">
        <v>1070</v>
      </c>
      <c r="B27" s="2194"/>
      <c r="C27" s="585"/>
      <c r="D27" s="585"/>
      <c r="E27" s="585"/>
      <c r="F27" s="1755">
        <f>SUM(C27+D27)-E27</f>
        <v>0</v>
      </c>
      <c r="G27" s="552"/>
    </row>
    <row r="28" spans="1:11" ht="7.5" customHeight="1" thickTop="1" x14ac:dyDescent="0.2">
      <c r="A28" s="593"/>
    </row>
    <row r="29" spans="1:11" ht="23.25" customHeight="1" x14ac:dyDescent="0.2">
      <c r="A29" s="2199" t="s">
        <v>582</v>
      </c>
      <c r="B29" s="2200"/>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2" t="s">
        <v>584</v>
      </c>
      <c r="C52" s="2183"/>
      <c r="D52" s="2183"/>
      <c r="E52" s="749" t="s">
        <v>845</v>
      </c>
      <c r="F52" s="2184"/>
      <c r="G52" s="2185"/>
      <c r="H52" s="736"/>
      <c r="I52" s="736"/>
      <c r="J52" s="746"/>
    </row>
    <row r="53" spans="1:11" ht="11.25" customHeight="1" x14ac:dyDescent="0.2">
      <c r="A53" s="750" t="s">
        <v>913</v>
      </c>
      <c r="B53" s="751" t="s">
        <v>951</v>
      </c>
      <c r="C53" s="746"/>
      <c r="D53" s="737"/>
      <c r="E53" s="749" t="s">
        <v>497</v>
      </c>
      <c r="F53" s="2186"/>
      <c r="G53" s="2187"/>
      <c r="H53" s="736"/>
      <c r="I53" s="736"/>
      <c r="J53" s="746"/>
    </row>
    <row r="54" spans="1:11" ht="11.25" customHeight="1" x14ac:dyDescent="0.2">
      <c r="A54" s="752" t="s">
        <v>914</v>
      </c>
      <c r="B54" s="747" t="s">
        <v>952</v>
      </c>
      <c r="C54" s="746"/>
      <c r="D54" s="737"/>
      <c r="E54" s="749" t="s">
        <v>498</v>
      </c>
      <c r="F54" s="2186"/>
      <c r="G54" s="218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1" t="s">
        <v>856</v>
      </c>
      <c r="B1" s="2212"/>
      <c r="C1" s="2212"/>
      <c r="D1" s="2212"/>
      <c r="E1" s="2212"/>
      <c r="F1" s="2212"/>
      <c r="G1" s="2213"/>
      <c r="H1" s="1530"/>
      <c r="I1" s="760"/>
      <c r="J1" s="433"/>
    </row>
    <row r="2" spans="1:11" ht="26.25" x14ac:dyDescent="0.2">
      <c r="A2" s="2230" t="s">
        <v>1677</v>
      </c>
      <c r="B2" s="2231"/>
      <c r="C2" s="2231"/>
      <c r="D2" s="2231"/>
      <c r="E2" s="2232"/>
      <c r="F2" s="761" t="s">
        <v>904</v>
      </c>
      <c r="G2" s="762" t="s">
        <v>1674</v>
      </c>
      <c r="H2" s="762" t="s">
        <v>410</v>
      </c>
      <c r="I2" s="762" t="s">
        <v>1158</v>
      </c>
      <c r="J2" s="762" t="s">
        <v>1812</v>
      </c>
      <c r="K2" s="762" t="s">
        <v>138</v>
      </c>
    </row>
    <row r="3" spans="1:11" x14ac:dyDescent="0.2">
      <c r="A3" s="2233" t="s">
        <v>1964</v>
      </c>
      <c r="B3" s="2234"/>
      <c r="C3" s="2234"/>
      <c r="D3" s="2234"/>
      <c r="E3" s="2235"/>
      <c r="F3" s="763"/>
      <c r="G3" s="764"/>
      <c r="H3" s="764"/>
      <c r="I3" s="764"/>
      <c r="J3" s="765"/>
      <c r="K3" s="765"/>
    </row>
    <row r="4" spans="1:11" x14ac:dyDescent="0.2">
      <c r="A4" s="2236" t="s">
        <v>369</v>
      </c>
      <c r="B4" s="2237"/>
      <c r="C4" s="2237"/>
      <c r="D4" s="2237"/>
      <c r="E4" s="2183"/>
      <c r="F4" s="766"/>
      <c r="G4" s="767"/>
      <c r="H4" s="768"/>
      <c r="I4" s="767"/>
      <c r="J4" s="769"/>
      <c r="K4" s="769"/>
    </row>
    <row r="5" spans="1:11" x14ac:dyDescent="0.2">
      <c r="A5" s="2214" t="s">
        <v>1069</v>
      </c>
      <c r="B5" s="2215"/>
      <c r="C5" s="2215"/>
      <c r="D5" s="2215"/>
      <c r="E5" s="2216"/>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4" t="s">
        <v>1813</v>
      </c>
      <c r="B10" s="2215"/>
      <c r="C10" s="2215"/>
      <c r="D10" s="2215"/>
      <c r="E10" s="2217"/>
      <c r="F10" s="783" t="s">
        <v>862</v>
      </c>
      <c r="G10" s="782"/>
      <c r="H10" s="784"/>
      <c r="I10" s="764"/>
      <c r="J10" s="765"/>
      <c r="K10" s="765"/>
    </row>
    <row r="11" spans="1:11" x14ac:dyDescent="0.2">
      <c r="A11" s="2214" t="s">
        <v>160</v>
      </c>
      <c r="B11" s="2215"/>
      <c r="C11" s="2215"/>
      <c r="D11" s="2215"/>
      <c r="E11" s="2216"/>
      <c r="F11" s="770" t="s">
        <v>852</v>
      </c>
      <c r="G11" s="771"/>
      <c r="H11" s="764"/>
      <c r="I11" s="764"/>
      <c r="J11" s="765"/>
      <c r="K11" s="773"/>
    </row>
    <row r="12" spans="1:11" ht="13.5" thickBot="1" x14ac:dyDescent="0.25">
      <c r="A12" s="2241" t="s">
        <v>905</v>
      </c>
      <c r="B12" s="2242"/>
      <c r="C12" s="2242"/>
      <c r="D12" s="2242"/>
      <c r="E12" s="2243"/>
      <c r="F12" s="1757"/>
      <c r="G12" s="1758">
        <f>SUM(G5:G11)</f>
        <v>0</v>
      </c>
      <c r="H12" s="1758">
        <f>SUM(H5:H11)</f>
        <v>0</v>
      </c>
      <c r="I12" s="1758">
        <f>SUM(I5:I11)</f>
        <v>0</v>
      </c>
      <c r="J12" s="1758">
        <f>SUM(J5:J11)</f>
        <v>0</v>
      </c>
      <c r="K12" s="1758">
        <f>SUM(K5:K11)</f>
        <v>0</v>
      </c>
    </row>
    <row r="13" spans="1:11" ht="13.5" thickTop="1" x14ac:dyDescent="0.2">
      <c r="A13" s="2238" t="s">
        <v>370</v>
      </c>
      <c r="B13" s="2239"/>
      <c r="C13" s="2239"/>
      <c r="D13" s="2239"/>
      <c r="E13" s="2240"/>
      <c r="F13" s="785"/>
      <c r="G13" s="786"/>
      <c r="H13" s="787"/>
      <c r="I13" s="788"/>
      <c r="J13" s="788"/>
      <c r="K13" s="788"/>
    </row>
    <row r="14" spans="1:11" x14ac:dyDescent="0.2">
      <c r="A14" s="2221" t="s">
        <v>456</v>
      </c>
      <c r="B14" s="2221"/>
      <c r="C14" s="2221"/>
      <c r="D14" s="2221"/>
      <c r="E14" s="2222"/>
      <c r="F14" s="789" t="s">
        <v>854</v>
      </c>
      <c r="G14" s="782"/>
      <c r="H14" s="764"/>
      <c r="I14" s="771"/>
      <c r="J14" s="773"/>
      <c r="K14" s="765"/>
    </row>
    <row r="15" spans="1:11" x14ac:dyDescent="0.2">
      <c r="A15" s="2215" t="s">
        <v>4</v>
      </c>
      <c r="B15" s="2215"/>
      <c r="C15" s="2215"/>
      <c r="D15" s="2215"/>
      <c r="E15" s="2216"/>
      <c r="F15" s="789" t="s">
        <v>855</v>
      </c>
      <c r="G15" s="771"/>
      <c r="H15" s="764"/>
      <c r="I15" s="764"/>
      <c r="J15" s="765"/>
      <c r="K15" s="765"/>
    </row>
    <row r="16" spans="1:11" x14ac:dyDescent="0.2">
      <c r="A16" s="2215" t="s">
        <v>298</v>
      </c>
      <c r="B16" s="2215"/>
      <c r="C16" s="2215"/>
      <c r="D16" s="2215"/>
      <c r="E16" s="2216"/>
      <c r="F16" s="789" t="s">
        <v>923</v>
      </c>
      <c r="G16" s="772"/>
      <c r="H16" s="767"/>
      <c r="I16" s="767"/>
      <c r="J16" s="769"/>
      <c r="K16" s="769"/>
    </row>
    <row r="17" spans="1:11" x14ac:dyDescent="0.2">
      <c r="A17" s="2246" t="s">
        <v>935</v>
      </c>
      <c r="B17" s="2246"/>
      <c r="C17" s="2246"/>
      <c r="D17" s="2246"/>
      <c r="E17" s="2247"/>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23" t="s">
        <v>1809</v>
      </c>
      <c r="B19" s="2223"/>
      <c r="C19" s="2223"/>
      <c r="D19" s="2223"/>
      <c r="E19" s="2224"/>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44" t="s">
        <v>638</v>
      </c>
      <c r="B21" s="2244"/>
      <c r="C21" s="2244"/>
      <c r="D21" s="2244"/>
      <c r="E21" s="2244"/>
      <c r="F21" s="1759"/>
      <c r="G21" s="792"/>
      <c r="H21" s="796"/>
      <c r="I21" s="796"/>
      <c r="J21" s="1760">
        <f>SUM(J18:J20)</f>
        <v>0</v>
      </c>
      <c r="K21" s="793"/>
    </row>
    <row r="22" spans="1:11" ht="13.5" thickTop="1" x14ac:dyDescent="0.2">
      <c r="A22" s="2215" t="s">
        <v>1815</v>
      </c>
      <c r="B22" s="2215"/>
      <c r="C22" s="2215"/>
      <c r="D22" s="2215"/>
      <c r="E22" s="2216"/>
      <c r="F22" s="789" t="s">
        <v>862</v>
      </c>
      <c r="G22" s="782"/>
      <c r="H22" s="764"/>
      <c r="I22" s="764"/>
      <c r="J22" s="797"/>
      <c r="K22" s="765"/>
    </row>
    <row r="23" spans="1:11" ht="13.5" thickBot="1" x14ac:dyDescent="0.25">
      <c r="A23" s="2245" t="s">
        <v>906</v>
      </c>
      <c r="B23" s="2244"/>
      <c r="C23" s="2244"/>
      <c r="D23" s="2244"/>
      <c r="E23" s="2244"/>
      <c r="F23" s="1761"/>
      <c r="G23" s="1758">
        <f>SUM(G14:G16,G21,G22)</f>
        <v>0</v>
      </c>
      <c r="H23" s="1758">
        <f>SUM(H14:H16,H21,H22)</f>
        <v>0</v>
      </c>
      <c r="I23" s="1758">
        <f>SUM(I14:I16,I21,I22)</f>
        <v>0</v>
      </c>
      <c r="J23" s="1758">
        <f>SUM(J14:J16,J21,J22)</f>
        <v>0</v>
      </c>
      <c r="K23" s="1758">
        <f>SUM(K14:K16,K21,K22)</f>
        <v>0</v>
      </c>
    </row>
    <row r="24" spans="1:11" ht="14.25" thickTop="1" thickBot="1" x14ac:dyDescent="0.25">
      <c r="A24" s="2245" t="s">
        <v>1965</v>
      </c>
      <c r="B24" s="2244"/>
      <c r="C24" s="2244"/>
      <c r="D24" s="2244"/>
      <c r="E24" s="2244"/>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8"/>
      <c r="I31" s="2219"/>
      <c r="J31" s="2219"/>
      <c r="K31" s="2219"/>
    </row>
    <row r="32" spans="1:11" x14ac:dyDescent="0.2">
      <c r="A32" s="809"/>
      <c r="B32" s="237"/>
      <c r="C32" s="237"/>
      <c r="D32" s="237"/>
      <c r="E32" s="805"/>
      <c r="F32" s="811" t="s">
        <v>540</v>
      </c>
      <c r="G32" s="764"/>
      <c r="H32" s="2220"/>
      <c r="I32" s="2219"/>
      <c r="J32" s="2219"/>
      <c r="K32" s="2219"/>
    </row>
    <row r="33" spans="1:11" ht="1.5" customHeight="1" x14ac:dyDescent="0.2">
      <c r="A33" s="812" t="s">
        <v>1169</v>
      </c>
      <c r="B33" s="364"/>
      <c r="C33" s="364"/>
      <c r="D33" s="364"/>
      <c r="E33" s="364"/>
      <c r="F33" s="364"/>
      <c r="G33" s="813"/>
      <c r="H33" s="2220"/>
      <c r="I33" s="2219"/>
      <c r="J33" s="2219"/>
      <c r="K33" s="2219"/>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28"/>
      <c r="C41" s="2228"/>
      <c r="D41" s="2228"/>
      <c r="E41" s="2228"/>
      <c r="F41" s="222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I6" sqref="I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0</v>
      </c>
      <c r="D16" s="1760">
        <f>SUM(D3,D5:D6,D8:D10,D12:D15)</f>
        <v>0</v>
      </c>
      <c r="E16" s="1760">
        <f>SUM(E3,E5:E6,E8:E10,E12:E15)</f>
        <v>0</v>
      </c>
      <c r="F16" s="1760">
        <f>SUM(F3,F5:F6,F8:F10,F12:F15)</f>
        <v>0</v>
      </c>
      <c r="G16" s="843"/>
      <c r="H16" s="1760">
        <f>SUM(H3,H6,H8:H10,H12:H14,)</f>
        <v>0</v>
      </c>
      <c r="I16" s="1760">
        <f>SUM(I3,I6,I8:I10,I12:I14,)</f>
        <v>0</v>
      </c>
      <c r="J16" s="1760">
        <f>SUM(J3,J6,J8:J10,J12:J14,)</f>
        <v>0</v>
      </c>
      <c r="K16" s="1760">
        <f>(H16+I16)-J16</f>
        <v>0</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8732</v>
      </c>
      <c r="G17" s="837">
        <v>10</v>
      </c>
      <c r="H17" s="769"/>
      <c r="I17" s="1769">
        <f>F17/G17</f>
        <v>873.2</v>
      </c>
      <c r="J17" s="769"/>
      <c r="K17" s="795"/>
      <c r="L17" s="795"/>
    </row>
    <row r="18" spans="1:12" ht="14.25" thickTop="1" thickBot="1" x14ac:dyDescent="0.25">
      <c r="A18" s="1767" t="s">
        <v>685</v>
      </c>
      <c r="B18" s="1768"/>
      <c r="C18" s="771"/>
      <c r="D18" s="771"/>
      <c r="E18" s="771"/>
      <c r="F18" s="850"/>
      <c r="G18" s="851"/>
      <c r="H18" s="773"/>
      <c r="I18" s="1760">
        <f>SUM(I16,I17)</f>
        <v>873.2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H202"/>
  <sheetViews>
    <sheetView showGridLines="0" defaultGridColor="0" colorId="8" zoomScale="110" zoomScaleNormal="110" workbookViewId="0">
      <pane ySplit="5" topLeftCell="A132" activePane="bottomLeft" state="frozen"/>
      <selection activeCell="I6" sqref="I6"/>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2199048</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0</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2199048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54026</v>
      </c>
      <c r="G53" s="865"/>
    </row>
    <row r="54" spans="1:7" x14ac:dyDescent="0.2">
      <c r="A54" s="869" t="s">
        <v>459</v>
      </c>
      <c r="B54" s="869" t="s">
        <v>1476</v>
      </c>
      <c r="C54" s="889" t="s">
        <v>982</v>
      </c>
      <c r="D54" s="885" t="s">
        <v>1095</v>
      </c>
      <c r="E54" s="868"/>
      <c r="F54" s="1913">
        <f>'Expenditures 15-22'!G114</f>
        <v>36892</v>
      </c>
      <c r="G54" s="865"/>
    </row>
    <row r="55" spans="1:7" x14ac:dyDescent="0.2">
      <c r="A55" s="869" t="s">
        <v>459</v>
      </c>
      <c r="B55" s="869" t="s">
        <v>1477</v>
      </c>
      <c r="C55" s="889" t="s">
        <v>982</v>
      </c>
      <c r="D55" s="885" t="s">
        <v>291</v>
      </c>
      <c r="E55" s="868"/>
      <c r="F55" s="1913">
        <f>'Expenditures 15-22'!I114</f>
        <v>8732</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99650</v>
      </c>
      <c r="G76" s="865"/>
    </row>
    <row r="77" spans="1:8" s="893" customFormat="1" ht="12" customHeight="1" thickTop="1" thickBot="1" x14ac:dyDescent="0.25">
      <c r="A77" s="1779"/>
      <c r="B77" s="1776"/>
      <c r="C77" s="1772"/>
      <c r="D77" s="1777" t="s">
        <v>1900</v>
      </c>
      <c r="E77" s="1774"/>
      <c r="F77" s="1780">
        <f>(F14-F76)</f>
        <v>2099398</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14573</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254025</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268598</v>
      </c>
    </row>
    <row r="175" spans="1:7" ht="12" customHeight="1" x14ac:dyDescent="0.2">
      <c r="A175" s="1770"/>
      <c r="B175" s="1784"/>
      <c r="C175" s="1785"/>
      <c r="D175" s="1786" t="s">
        <v>2057</v>
      </c>
      <c r="E175" s="1787"/>
      <c r="F175" s="1789">
        <f>'PCTC-OEPP 27-28'!F77-F174</f>
        <v>1830800</v>
      </c>
    </row>
    <row r="176" spans="1:7" ht="12" customHeight="1" x14ac:dyDescent="0.2">
      <c r="A176" s="1770"/>
      <c r="B176" s="1784"/>
      <c r="C176" s="1785"/>
      <c r="D176" s="1786" t="s">
        <v>1817</v>
      </c>
      <c r="E176" s="1787"/>
      <c r="F176" s="1789">
        <f>'Cap Outlay Deprec 26'!I18</f>
        <v>873.2</v>
      </c>
    </row>
    <row r="177" spans="1:7" ht="12" customHeight="1" x14ac:dyDescent="0.2">
      <c r="A177" s="1770"/>
      <c r="B177" s="1784"/>
      <c r="C177" s="1785"/>
      <c r="D177" s="1786" t="s">
        <v>2058</v>
      </c>
      <c r="E177" s="1787"/>
      <c r="F177" s="1789">
        <f>F175+F176</f>
        <v>1831673.2</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H141"/>
  <sheetViews>
    <sheetView showGridLines="0" topLeftCell="A16" zoomScaleNormal="100" workbookViewId="0">
      <selection activeCell="B21" sqref="B21"/>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t="s">
        <v>2086</v>
      </c>
      <c r="B17" s="2484" t="s">
        <v>2091</v>
      </c>
      <c r="C17" s="1656" t="s">
        <v>2087</v>
      </c>
      <c r="D17" s="1844">
        <v>49156</v>
      </c>
      <c r="E17" s="1540">
        <f t="shared" ref="E17:E141" si="0">IF(D17&lt;=25000,D17,IF(D17&gt;25000,25000,0))</f>
        <v>25000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24156</v>
      </c>
      <c r="H17" s="1647"/>
    </row>
    <row r="18" spans="1:8" x14ac:dyDescent="0.25">
      <c r="A18" s="1653" t="s">
        <v>2088</v>
      </c>
      <c r="B18" s="1935" t="s">
        <v>1824</v>
      </c>
      <c r="C18" s="1656" t="s">
        <v>2089</v>
      </c>
      <c r="D18" s="1844">
        <v>30062</v>
      </c>
      <c r="E18" s="1540">
        <f t="shared" ref="E18:E140" si="2">IF(D18&lt;=25000,D18,IF(D18&gt;25000,25000,0))</f>
        <v>25000</v>
      </c>
      <c r="F18" s="1933">
        <f t="shared" si="1"/>
        <v>25000</v>
      </c>
      <c r="G18" s="1793">
        <f t="shared" ref="G18:G140" si="3">IF(F18=0,0,D18-F18)</f>
        <v>5062</v>
      </c>
    </row>
    <row r="19" spans="1:8" x14ac:dyDescent="0.25">
      <c r="A19" s="1653" t="s">
        <v>2088</v>
      </c>
      <c r="B19" s="1935" t="s">
        <v>1824</v>
      </c>
      <c r="C19" s="1656" t="s">
        <v>2090</v>
      </c>
      <c r="D19" s="1844">
        <v>48395</v>
      </c>
      <c r="E19" s="1540">
        <f t="shared" si="2"/>
        <v>25000</v>
      </c>
      <c r="F19" s="1933">
        <f t="shared" si="1"/>
        <v>25000</v>
      </c>
      <c r="G19" s="1793">
        <f t="shared" si="3"/>
        <v>23395</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127613</v>
      </c>
      <c r="E141" s="1541">
        <f t="shared" si="0"/>
        <v>25000</v>
      </c>
      <c r="F141" s="1934">
        <f>SUM(F17:F140)</f>
        <v>75000</v>
      </c>
      <c r="G141" s="1795">
        <f>SUM(G17:G140)</f>
        <v>52613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I46"/>
  <sheetViews>
    <sheetView showGridLines="0" defaultGridColor="0" topLeftCell="A28"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1681628</v>
      </c>
      <c r="F19" s="1799"/>
      <c r="G19" s="1801">
        <f>'Expenditures 15-22'!K33-SUM('Expenditures 15-22'!G33,'Expenditures 15-22'!I33)+'Expenditures 15-22'!D229</f>
        <v>1681628</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48813</v>
      </c>
      <c r="F21" s="1802"/>
      <c r="G21" s="1805">
        <f>'Expenditures 15-22'!K42-SUM('Expenditures 15-22'!G42,'Expenditures 15-22'!I42)+'Expenditures 15-22'!K120-SUM('Expenditures 15-22'!G120,'Expenditures 15-22'!I120)+'Expenditures 15-22'!K180-SUM('Expenditures 15-22'!G180,'Expenditures 15-22'!I180)+'Expenditures 15-22'!D238</f>
        <v>48813</v>
      </c>
      <c r="H21" s="987"/>
      <c r="I21" s="162"/>
    </row>
    <row r="22" spans="1:9" s="668" customFormat="1" ht="12" customHeight="1" x14ac:dyDescent="0.2">
      <c r="A22" s="994" t="s">
        <v>564</v>
      </c>
      <c r="B22" s="995"/>
      <c r="C22" s="993">
        <v>2200</v>
      </c>
      <c r="D22" s="1802"/>
      <c r="E22" s="1804">
        <f>'Expenditures 15-22'!K47-SUM('Expenditures 15-22'!G47,'Expenditures 15-22'!I47)+'Expenditures 15-22'!D243</f>
        <v>330</v>
      </c>
      <c r="F22" s="1802"/>
      <c r="G22" s="1805">
        <f>'Expenditures 15-22'!K47-SUM('Expenditures 15-22'!G47,'Expenditures 15-22'!I47)+'Expenditures 15-22'!D243</f>
        <v>330</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0</v>
      </c>
      <c r="F23" s="1802"/>
      <c r="G23" s="1804">
        <f>'Expenditures 15-22'!K53-SUM('Expenditures 15-22'!G53,'Expenditures 15-22'!I53)+'Expenditures 15-22'!D257+'Expenditures 15-22'!K330-SUM('Expenditures 15-22'!G330,'Expenditures 15-22'!I330)</f>
        <v>0</v>
      </c>
      <c r="H23" s="987"/>
      <c r="I23" s="162"/>
    </row>
    <row r="24" spans="1:9" s="668" customFormat="1" ht="12" customHeight="1" x14ac:dyDescent="0.2">
      <c r="A24" s="994" t="s">
        <v>566</v>
      </c>
      <c r="B24" s="995"/>
      <c r="C24" s="993">
        <v>2400</v>
      </c>
      <c r="D24" s="1802"/>
      <c r="E24" s="1804">
        <f>'Expenditures 15-22'!K57-SUM('Expenditures 15-22'!G57,'Expenditures 15-22'!I57)+'Expenditures 15-22'!D261</f>
        <v>227839</v>
      </c>
      <c r="F24" s="1802"/>
      <c r="G24" s="1805">
        <f>'Expenditures 15-22'!K57-SUM('Expenditures 15-22'!G57,'Expenditures 15-22'!I57)+'Expenditures 15-22'!D261</f>
        <v>227839</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5979</v>
      </c>
      <c r="E27" s="1804">
        <f>E8</f>
        <v>0</v>
      </c>
      <c r="F27" s="1804">
        <f>'Expenditures 15-22'!K60-SUM('Expenditures 15-22'!G60,'Expenditures 15-22'!I60)+'Expenditures 15-22'!D264-E8</f>
        <v>5979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121025</v>
      </c>
      <c r="F28" s="1806">
        <f>'Expenditures 15-22'!K61-SUM('Expenditures 15-22'!G61,'Expenditures 15-22'!I61)+'Expenditures 15-22'!K124-SUM('Expenditures 15-22'!G124,'Expenditures 15-22'!I124)+'Expenditures 15-22'!D266-E9</f>
        <v>121025</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13784</v>
      </c>
      <c r="F38" s="1802"/>
      <c r="G38" s="1804">
        <f>'Expenditures 15-22'!K73-SUM('Expenditures 15-22'!G73,'Expenditures 15-22'!I73)+'Expenditures 15-22'!K128-SUM('Expenditures 15-22'!G128,'Expenditures 15-22'!I128)+'Expenditures 15-22'!K183-SUM('Expenditures 15-22'!G183,'Expenditures 15-22'!I183)+'Expenditures 15-22'!D278</f>
        <v>13784</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-52613</v>
      </c>
      <c r="F40" s="1802"/>
      <c r="G40" s="1806">
        <f>-'Contracts Paid in CY 29'!G141</f>
        <v>-52613</v>
      </c>
    </row>
    <row r="41" spans="1:7" ht="12" customHeight="1" x14ac:dyDescent="0.2">
      <c r="A41" s="998" t="s">
        <v>156</v>
      </c>
      <c r="B41" s="999"/>
      <c r="C41" s="1000"/>
      <c r="D41" s="1806">
        <f>SUM(D19:D39)</f>
        <v>5979</v>
      </c>
      <c r="E41" s="1806">
        <f>SUM(E19:E40)</f>
        <v>2040806</v>
      </c>
      <c r="F41" s="1806">
        <f>SUM(F19:F39)</f>
        <v>127004</v>
      </c>
      <c r="G41" s="1806">
        <f>SUM(G19:G40)</f>
        <v>1919781</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5979</v>
      </c>
      <c r="F43" s="1807" t="s">
        <v>473</v>
      </c>
      <c r="G43" s="1808">
        <f>F41</f>
        <v>127004</v>
      </c>
    </row>
    <row r="44" spans="1:7" ht="12" customHeight="1" x14ac:dyDescent="0.2">
      <c r="A44" s="987"/>
      <c r="B44" s="162"/>
      <c r="C44" s="1001"/>
      <c r="D44" s="1807" t="s">
        <v>474</v>
      </c>
      <c r="E44" s="1808">
        <f>E41</f>
        <v>2040806</v>
      </c>
      <c r="F44" s="1807" t="s">
        <v>474</v>
      </c>
      <c r="G44" s="1808">
        <f>G41</f>
        <v>1919781</v>
      </c>
    </row>
    <row r="45" spans="1:7" ht="12" customHeight="1" x14ac:dyDescent="0.2">
      <c r="A45" s="987"/>
      <c r="B45" s="162"/>
      <c r="C45" s="162"/>
      <c r="D45" s="1809" t="s">
        <v>1006</v>
      </c>
      <c r="E45" s="1810">
        <f>(E43/E44)</f>
        <v>2.9297248244076115E-3</v>
      </c>
      <c r="F45" s="1809" t="s">
        <v>1006</v>
      </c>
      <c r="G45" s="1810">
        <f>(G43/G44)</f>
        <v>6.6155462524110822E-2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sheetPr>
  <dimension ref="A1:L97"/>
  <sheetViews>
    <sheetView showGridLines="0" zoomScale="110" zoomScaleNormal="110" workbookViewId="0">
      <pane ySplit="4" topLeftCell="A10" activePane="bottomLeft" state="frozen"/>
      <selection activeCell="A47" sqref="A47"/>
      <selection pane="bottomLeft" activeCell="F26" sqref="F2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1" t="s">
        <v>1379</v>
      </c>
      <c r="B1" s="2301"/>
      <c r="C1" s="2301"/>
      <c r="D1" s="2301"/>
      <c r="E1" s="2301"/>
      <c r="F1" s="2301"/>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2" t="s">
        <v>1546</v>
      </c>
      <c r="B5" s="2303"/>
      <c r="C5" s="2304"/>
      <c r="D5" s="2304"/>
      <c r="E5" s="2304"/>
      <c r="F5" s="2304"/>
    </row>
    <row r="6" spans="1:10" ht="12" customHeight="1" x14ac:dyDescent="0.25">
      <c r="A6" s="1850"/>
      <c r="B6" s="1851"/>
      <c r="C6" s="2305" t="str">
        <f>COVER!A17</f>
        <v>Fox Valley Career Center</v>
      </c>
      <c r="D6" s="2305"/>
      <c r="E6" s="2305"/>
      <c r="F6" s="1852"/>
    </row>
    <row r="7" spans="1:10" ht="11.25" customHeight="1" thickBot="1" x14ac:dyDescent="0.3">
      <c r="A7" s="1850"/>
      <c r="B7" s="1851"/>
      <c r="C7" s="2306">
        <f>COVER!A13</f>
        <v>31045302041</v>
      </c>
      <c r="D7" s="2306"/>
      <c r="E7" s="2306"/>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t="s">
        <v>2065</v>
      </c>
      <c r="D12" s="1865" t="s">
        <v>2065</v>
      </c>
      <c r="E12" s="1868" t="s">
        <v>2080</v>
      </c>
      <c r="F12" s="1867" t="s">
        <v>2081</v>
      </c>
      <c r="H12" s="1878">
        <f t="shared" ref="H12:H33" si="0">IF(C12="X",5,0)</f>
        <v>5</v>
      </c>
      <c r="I12" s="1878">
        <f t="shared" ref="I12:I33" si="1">IF(D12="X",5,0)</f>
        <v>5</v>
      </c>
      <c r="J12" s="1878">
        <f t="shared" ref="J12:J33" si="2">IF(E12="X",5,0)</f>
        <v>0</v>
      </c>
    </row>
    <row r="13" spans="1:10" ht="12" customHeight="1" x14ac:dyDescent="0.2">
      <c r="A13" s="1863" t="s">
        <v>1385</v>
      </c>
      <c r="B13" s="1864"/>
      <c r="C13" s="1865" t="s">
        <v>2065</v>
      </c>
      <c r="D13" s="1865" t="s">
        <v>2065</v>
      </c>
      <c r="E13" s="1868" t="s">
        <v>2080</v>
      </c>
      <c r="F13" s="1867" t="s">
        <v>2082</v>
      </c>
      <c r="H13" s="1878">
        <f t="shared" si="0"/>
        <v>5</v>
      </c>
      <c r="I13" s="1878">
        <f t="shared" si="1"/>
        <v>5</v>
      </c>
      <c r="J13" s="1878">
        <f t="shared" si="2"/>
        <v>0</v>
      </c>
    </row>
    <row r="14" spans="1:10" ht="12" customHeight="1" x14ac:dyDescent="0.2">
      <c r="A14" s="1863" t="s">
        <v>1386</v>
      </c>
      <c r="B14" s="1864"/>
      <c r="C14" s="1865" t="s">
        <v>2065</v>
      </c>
      <c r="D14" s="1865" t="s">
        <v>2065</v>
      </c>
      <c r="E14" s="1868" t="s">
        <v>2080</v>
      </c>
      <c r="F14" s="1867" t="s">
        <v>2081</v>
      </c>
      <c r="H14" s="1878">
        <f t="shared" si="0"/>
        <v>5</v>
      </c>
      <c r="I14" s="1878">
        <f t="shared" si="1"/>
        <v>5</v>
      </c>
      <c r="J14" s="1878">
        <f t="shared" si="2"/>
        <v>0</v>
      </c>
    </row>
    <row r="15" spans="1:10" ht="12" customHeight="1" x14ac:dyDescent="0.2">
      <c r="A15" s="1863" t="s">
        <v>1387</v>
      </c>
      <c r="B15" s="1864"/>
      <c r="C15" s="1865" t="s">
        <v>2065</v>
      </c>
      <c r="D15" s="1865" t="s">
        <v>2065</v>
      </c>
      <c r="E15" s="1868" t="s">
        <v>2080</v>
      </c>
      <c r="F15" s="1867" t="s">
        <v>2081</v>
      </c>
      <c r="H15" s="1878">
        <f t="shared" si="0"/>
        <v>5</v>
      </c>
      <c r="I15" s="1878">
        <f t="shared" si="1"/>
        <v>5</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t="s">
        <v>2065</v>
      </c>
      <c r="D18" s="1865" t="s">
        <v>2065</v>
      </c>
      <c r="E18" s="1868" t="s">
        <v>2080</v>
      </c>
      <c r="F18" s="1867" t="s">
        <v>2081</v>
      </c>
      <c r="H18" s="1878">
        <f t="shared" si="0"/>
        <v>5</v>
      </c>
      <c r="I18" s="1878">
        <f t="shared" si="1"/>
        <v>5</v>
      </c>
      <c r="J18" s="1878">
        <f t="shared" si="2"/>
        <v>0</v>
      </c>
    </row>
    <row r="19" spans="1:12" ht="12" customHeight="1" x14ac:dyDescent="0.2">
      <c r="A19" s="1863" t="s">
        <v>1527</v>
      </c>
      <c r="B19" s="1864"/>
      <c r="C19" s="1865" t="s">
        <v>2065</v>
      </c>
      <c r="D19" s="1865" t="s">
        <v>2065</v>
      </c>
      <c r="E19" s="1868" t="s">
        <v>2080</v>
      </c>
      <c r="F19" s="1867" t="s">
        <v>2081</v>
      </c>
      <c r="H19" s="1878">
        <f t="shared" si="0"/>
        <v>5</v>
      </c>
      <c r="I19" s="1878">
        <f t="shared" si="1"/>
        <v>5</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t="s">
        <v>2065</v>
      </c>
      <c r="D21" s="1865" t="s">
        <v>2065</v>
      </c>
      <c r="E21" s="1868" t="s">
        <v>2080</v>
      </c>
      <c r="F21" s="1867" t="s">
        <v>2081</v>
      </c>
      <c r="H21" s="1878">
        <f t="shared" si="0"/>
        <v>5</v>
      </c>
      <c r="I21" s="1878">
        <f t="shared" si="1"/>
        <v>5</v>
      </c>
      <c r="J21" s="1878">
        <f t="shared" si="2"/>
        <v>0</v>
      </c>
    </row>
    <row r="22" spans="1:12" ht="12" customHeight="1" x14ac:dyDescent="0.2">
      <c r="A22" s="1863" t="s">
        <v>1530</v>
      </c>
      <c r="B22" s="1864"/>
      <c r="C22" s="1865" t="s">
        <v>2065</v>
      </c>
      <c r="D22" s="1865" t="s">
        <v>2065</v>
      </c>
      <c r="E22" s="1868" t="s">
        <v>2080</v>
      </c>
      <c r="F22" s="1867" t="s">
        <v>2081</v>
      </c>
      <c r="H22" s="1878">
        <f t="shared" si="0"/>
        <v>5</v>
      </c>
      <c r="I22" s="1878">
        <f t="shared" si="1"/>
        <v>5</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2065</v>
      </c>
      <c r="D25" s="1865" t="s">
        <v>2065</v>
      </c>
      <c r="E25" s="1868" t="s">
        <v>2080</v>
      </c>
      <c r="F25" s="1867" t="s">
        <v>2081</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45</v>
      </c>
      <c r="I34" s="1878">
        <f>SUM(I11:I32)</f>
        <v>45</v>
      </c>
      <c r="J34" s="1878">
        <f>SUM(J11:J32)</f>
        <v>0</v>
      </c>
      <c r="K34" s="1878">
        <f>SUM(H34:J34)</f>
        <v>90</v>
      </c>
    </row>
    <row r="35" spans="1:11" ht="12" customHeight="1" x14ac:dyDescent="0.2">
      <c r="A35" s="1871" t="s">
        <v>1392</v>
      </c>
      <c r="B35" s="1872"/>
      <c r="C35" s="2307"/>
      <c r="D35" s="2307"/>
      <c r="E35" s="2307"/>
      <c r="F35" s="2308"/>
    </row>
    <row r="36" spans="1:11" ht="12" customHeight="1" x14ac:dyDescent="0.2">
      <c r="A36" s="2290"/>
      <c r="B36" s="2291"/>
      <c r="C36" s="2291"/>
      <c r="D36" s="2291"/>
      <c r="E36" s="2291"/>
      <c r="F36" s="2292"/>
    </row>
    <row r="37" spans="1:11" ht="12" customHeight="1" x14ac:dyDescent="0.2">
      <c r="A37" s="2290"/>
      <c r="B37" s="2291"/>
      <c r="C37" s="2291"/>
      <c r="D37" s="2291"/>
      <c r="E37" s="2291"/>
      <c r="F37" s="2292"/>
    </row>
    <row r="38" spans="1:11" ht="12" customHeight="1" x14ac:dyDescent="0.2">
      <c r="A38" s="2293"/>
      <c r="B38" s="2294"/>
      <c r="C38" s="2294"/>
      <c r="D38" s="2294"/>
      <c r="E38" s="2294"/>
      <c r="F38" s="2295"/>
    </row>
    <row r="39" spans="1:11" ht="4.5" hidden="1" customHeight="1" x14ac:dyDescent="0.2">
      <c r="A39" s="1873"/>
      <c r="B39" s="1873"/>
      <c r="C39" s="1873"/>
      <c r="D39" s="1873"/>
      <c r="E39" s="1873"/>
      <c r="F39" s="1873"/>
    </row>
    <row r="40" spans="1:11" s="1870" customFormat="1" ht="12" customHeight="1" x14ac:dyDescent="0.25">
      <c r="A40" s="1874" t="s">
        <v>1391</v>
      </c>
      <c r="B40" s="1875"/>
      <c r="C40" s="2296"/>
      <c r="D40" s="2296"/>
      <c r="E40" s="2296"/>
      <c r="F40" s="2297"/>
      <c r="H40" s="1879"/>
      <c r="I40" s="1879"/>
      <c r="J40" s="1879"/>
      <c r="K40" s="1879"/>
    </row>
    <row r="41" spans="1:11" s="1870" customFormat="1" ht="12" customHeight="1" x14ac:dyDescent="0.25">
      <c r="A41" s="2298"/>
      <c r="B41" s="2299"/>
      <c r="C41" s="2299"/>
      <c r="D41" s="2299"/>
      <c r="E41" s="2299"/>
      <c r="F41" s="2300"/>
      <c r="H41" s="1879"/>
      <c r="I41" s="1879"/>
      <c r="J41" s="1879"/>
      <c r="K41" s="1879"/>
    </row>
    <row r="42" spans="1:11" s="1870" customFormat="1" ht="12" customHeight="1" x14ac:dyDescent="0.25">
      <c r="A42" s="2298"/>
      <c r="B42" s="2299"/>
      <c r="C42" s="2299"/>
      <c r="D42" s="2299"/>
      <c r="E42" s="2299"/>
      <c r="F42" s="2300"/>
      <c r="H42" s="1879"/>
      <c r="I42" s="1879"/>
      <c r="J42" s="1879"/>
      <c r="K42" s="1879"/>
    </row>
    <row r="43" spans="1:11" s="1870" customFormat="1" ht="15" x14ac:dyDescent="0.25">
      <c r="A43" s="2287"/>
      <c r="B43" s="2288"/>
      <c r="C43" s="2288"/>
      <c r="D43" s="2288"/>
      <c r="E43" s="2288"/>
      <c r="F43" s="2289"/>
      <c r="H43" s="1879"/>
      <c r="I43" s="1879"/>
      <c r="J43" s="1879"/>
      <c r="K43" s="1879"/>
    </row>
    <row r="44" spans="1:11" s="1870" customFormat="1" ht="12" hidden="1" customHeight="1" x14ac:dyDescent="0.25">
      <c r="A44" s="2287"/>
      <c r="B44" s="2288"/>
      <c r="C44" s="2288"/>
      <c r="D44" s="2288"/>
      <c r="E44" s="2288"/>
      <c r="F44" s="2289"/>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Fox Valley Career Center</v>
      </c>
      <c r="J6" s="2315"/>
      <c r="Q6" s="1664"/>
    </row>
    <row r="7" spans="1:17" x14ac:dyDescent="0.2">
      <c r="A7" s="2316" t="s">
        <v>869</v>
      </c>
      <c r="B7" s="2317"/>
      <c r="C7" s="2317"/>
      <c r="D7" s="2317"/>
      <c r="E7" s="2318"/>
      <c r="F7" s="1017"/>
      <c r="G7" s="1009"/>
      <c r="H7" s="1016" t="s">
        <v>372</v>
      </c>
      <c r="I7" s="2319">
        <f>COVER!A13</f>
        <v>31045302041</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0</v>
      </c>
      <c r="F19" s="1813">
        <f t="shared" si="2"/>
        <v>0</v>
      </c>
      <c r="G19" s="1813">
        <f t="shared" si="2"/>
        <v>0</v>
      </c>
      <c r="H19" s="1813">
        <f t="shared" si="2"/>
        <v>0</v>
      </c>
      <c r="I19" s="1813">
        <f t="shared" si="2"/>
        <v>0</v>
      </c>
      <c r="J19" s="1813">
        <f t="shared" si="2"/>
        <v>0</v>
      </c>
    </row>
    <row r="20" spans="1:10" ht="13.5" thickTop="1" x14ac:dyDescent="0.2">
      <c r="A20" s="1035">
        <v>9</v>
      </c>
      <c r="B20" s="2326" t="s">
        <v>1981</v>
      </c>
      <c r="C20" s="2326"/>
      <c r="D20" s="2327"/>
      <c r="E20" s="1046"/>
      <c r="F20" s="1046"/>
      <c r="G20" s="1046"/>
      <c r="H20" s="1046"/>
      <c r="I20" s="1046"/>
      <c r="J20" s="1814" t="str">
        <f>IF(AND(G19&gt;0,J19&gt;0),(((J19-G19)/G19)),"Enter Budget Data")</f>
        <v>Enter Budget Data</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8" sqref="B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2083</v>
      </c>
    </row>
    <row r="6" spans="1:2" x14ac:dyDescent="0.2">
      <c r="A6" s="1068">
        <v>2</v>
      </c>
      <c r="B6" s="329" t="s">
        <v>2084</v>
      </c>
    </row>
    <row r="7" spans="1:2" x14ac:dyDescent="0.2">
      <c r="A7" s="1068">
        <v>3</v>
      </c>
      <c r="B7" s="329" t="s">
        <v>2085</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Fox Valley Career Center</v>
      </c>
    </row>
    <row r="65" spans="2:2" x14ac:dyDescent="0.2">
      <c r="B65" s="1070">
        <f>COVER!A13</f>
        <v>31045302041</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7" sqref="D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4</xdr:row>
                <xdr:rowOff>161925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F10" sqref="F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2182724</v>
      </c>
      <c r="C8" s="1815">
        <f>'Acct Summary 7-8'!D8</f>
        <v>0</v>
      </c>
      <c r="D8" s="1815">
        <f>'Acct Summary 7-8'!F8</f>
        <v>0</v>
      </c>
      <c r="E8" s="1815">
        <f>'Acct Summary 7-8'!I8</f>
        <v>0</v>
      </c>
      <c r="F8" s="1815">
        <f>SUM(B8:E8)</f>
        <v>2182724</v>
      </c>
    </row>
    <row r="9" spans="1:8" s="1079" customFormat="1" ht="14.25" customHeight="1" thickBot="1" x14ac:dyDescent="0.25">
      <c r="A9" s="1078" t="s">
        <v>1369</v>
      </c>
      <c r="B9" s="1816">
        <f>'Acct Summary 7-8'!C17</f>
        <v>2199048</v>
      </c>
      <c r="C9" s="1816">
        <f>'Acct Summary 7-8'!D17</f>
        <v>0</v>
      </c>
      <c r="D9" s="1816">
        <f>'Acct Summary 7-8'!F17</f>
        <v>0</v>
      </c>
      <c r="E9" s="1815"/>
      <c r="F9" s="1815">
        <f>SUM(B9:E9)</f>
        <v>2199048</v>
      </c>
    </row>
    <row r="10" spans="1:8" s="1079" customFormat="1" ht="14.25" thickTop="1" thickBot="1" x14ac:dyDescent="0.25">
      <c r="A10" s="1080" t="s">
        <v>1370</v>
      </c>
      <c r="B10" s="1817">
        <f>(B8-B9)</f>
        <v>-16324</v>
      </c>
      <c r="C10" s="1817">
        <f>(C8-C9)</f>
        <v>0</v>
      </c>
      <c r="D10" s="1817">
        <f>(D8-D9)</f>
        <v>0</v>
      </c>
      <c r="E10" s="1816">
        <f>(E8-E9)</f>
        <v>0</v>
      </c>
      <c r="F10" s="1818">
        <f>SUM(F8-F9)</f>
        <v>-16324</v>
      </c>
    </row>
    <row r="11" spans="1:8" s="1079" customFormat="1" ht="14.25" thickTop="1" thickBot="1" x14ac:dyDescent="0.25">
      <c r="A11" s="1081" t="s">
        <v>1985</v>
      </c>
      <c r="B11" s="1819">
        <f>'Acct Summary 7-8'!C81</f>
        <v>252158</v>
      </c>
      <c r="C11" s="1819">
        <f>'Acct Summary 7-8'!D81</f>
        <v>0</v>
      </c>
      <c r="D11" s="1819">
        <f>'Acct Summary 7-8'!F81</f>
        <v>0</v>
      </c>
      <c r="E11" s="1819">
        <f>'Acct Summary 7-8'!I81</f>
        <v>0</v>
      </c>
      <c r="F11" s="1820">
        <f>SUM(B11:E11)</f>
        <v>252158</v>
      </c>
    </row>
    <row r="12" spans="1:8" ht="16.5" customHeight="1" thickTop="1" x14ac:dyDescent="0.2">
      <c r="A12" s="1082"/>
      <c r="B12" s="1083"/>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5" colorId="8" zoomScale="110" zoomScaleNormal="110" workbookViewId="0">
      <selection activeCell="D29" sqref="D2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31045302041</v>
      </c>
    </row>
    <row r="3" spans="1:2" x14ac:dyDescent="0.2">
      <c r="A3" t="s">
        <v>956</v>
      </c>
      <c r="B3" s="138" t="str">
        <f>COVER!A15</f>
        <v>Kane</v>
      </c>
    </row>
    <row r="4" spans="1:2" x14ac:dyDescent="0.2">
      <c r="A4" t="s">
        <v>1007</v>
      </c>
      <c r="B4" s="138" t="str">
        <f>COVER!A17</f>
        <v>Fox Valley Career Center</v>
      </c>
    </row>
    <row r="5" spans="1:2" x14ac:dyDescent="0.2">
      <c r="A5" t="s">
        <v>704</v>
      </c>
      <c r="B5" s="138" t="str">
        <f>COVER!A38</f>
        <v>Dr. Todd Leden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065-033233</v>
      </c>
    </row>
    <row r="16" spans="1:2" x14ac:dyDescent="0.2">
      <c r="A16" t="s">
        <v>422</v>
      </c>
      <c r="B16" s="138" t="str">
        <f>COVER!T13</f>
        <v>Lauterbach &amp; Amen, LLP</v>
      </c>
    </row>
    <row r="17" spans="1:2" x14ac:dyDescent="0.2">
      <c r="A17" t="s">
        <v>884</v>
      </c>
      <c r="B17" s="138" t="str">
        <f>COVER!T15</f>
        <v>Matt Beran</v>
      </c>
    </row>
    <row r="18" spans="1:2" x14ac:dyDescent="0.2">
      <c r="A18" t="s">
        <v>1150</v>
      </c>
      <c r="B18" s="138" t="str">
        <f>COVER!T17</f>
        <v>668 N. River Road</v>
      </c>
    </row>
    <row r="19" spans="1:2" x14ac:dyDescent="0.2">
      <c r="A19" t="s">
        <v>886</v>
      </c>
      <c r="B19" s="138" t="str">
        <f>COVER!T25</f>
        <v>mberan@lauterbachamen.com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793145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540987</v>
      </c>
      <c r="C91" s="2" t="s">
        <v>573</v>
      </c>
      <c r="D91" s="2" t="str">
        <f t="shared" si="0"/>
        <v>Error?</v>
      </c>
    </row>
    <row r="92" spans="1:4" x14ac:dyDescent="0.2">
      <c r="A92" s="5">
        <v>31</v>
      </c>
      <c r="B92" s="138">
        <f>'Assets-Liab 5-6'!C39</f>
        <v>252158</v>
      </c>
      <c r="D92" s="2" t="str">
        <f t="shared" si="0"/>
        <v>Error?</v>
      </c>
    </row>
    <row r="93" spans="1:4" x14ac:dyDescent="0.2">
      <c r="A93" s="5">
        <v>32</v>
      </c>
      <c r="B93" s="138">
        <f>'Assets-Liab 5-6'!C41</f>
        <v>793145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976328</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1026948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41030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41030</v>
      </c>
      <c r="C727" s="2" t="s">
        <v>573</v>
      </c>
      <c r="D727" s="2" t="str">
        <f t="shared" si="10"/>
        <v>Error?</v>
      </c>
    </row>
    <row r="728" spans="1:4" x14ac:dyDescent="0.2">
      <c r="A728" s="5">
        <v>667</v>
      </c>
      <c r="B728" s="138">
        <f>'Expenditures 15-22'!C44</f>
        <v>330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330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219402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219402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16161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16161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276923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1303871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326803</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326803</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326803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89637</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89637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6358</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6358</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573</v>
      </c>
      <c r="D850" s="2" t="str">
        <f t="shared" si="12"/>
        <v>Error?</v>
      </c>
    </row>
    <row r="851" spans="1:4" x14ac:dyDescent="0.2">
      <c r="A851" s="5">
        <v>790</v>
      </c>
      <c r="B851" s="138">
        <f>'Expenditures 15-22'!E55</f>
        <v>1090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1090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5250</v>
      </c>
      <c r="D855" s="2" t="str">
        <f t="shared" si="12"/>
        <v>Error?</v>
      </c>
    </row>
    <row r="856" spans="1:4" x14ac:dyDescent="0.2">
      <c r="A856" s="5">
        <v>795</v>
      </c>
      <c r="B856" s="138">
        <f>'Expenditures 15-22'!E61</f>
        <v>67635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72885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13784</v>
      </c>
      <c r="D870" s="2" t="str">
        <f t="shared" si="12"/>
        <v>Error?</v>
      </c>
    </row>
    <row r="871" spans="1:4" x14ac:dyDescent="0.2">
      <c r="A871" s="5">
        <v>810</v>
      </c>
      <c r="B871" s="138">
        <f>'Expenditures 15-22'!E74</f>
        <v>94117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237780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149290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149290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1425</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1425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6862</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6862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37229</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37229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45516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194806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36892</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36892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36892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88950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88950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485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485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729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729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1214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90164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1676024</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1726644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48813</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48813</v>
      </c>
      <c r="C1115" s="2" t="s">
        <v>573</v>
      </c>
      <c r="D1115" s="2" t="str">
        <f t="shared" si="16"/>
        <v>Error?</v>
      </c>
    </row>
    <row r="1116" spans="1:4" x14ac:dyDescent="0.2">
      <c r="A1116" s="5">
        <v>1055</v>
      </c>
      <c r="B1116" s="138">
        <f>'Expenditures 15-22'!K44</f>
        <v>330</v>
      </c>
      <c r="C1116" s="2" t="s">
        <v>573</v>
      </c>
      <c r="D1116" s="2" t="str">
        <f t="shared" si="16"/>
        <v>Error?</v>
      </c>
    </row>
    <row r="1117" spans="1:4" x14ac:dyDescent="0.2">
      <c r="A1117" s="5">
        <v>1056</v>
      </c>
      <c r="B1117" s="138">
        <f>'Expenditures 15-22'!K45</f>
        <v>608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938</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0</v>
      </c>
      <c r="C1122" s="2" t="s">
        <v>573</v>
      </c>
      <c r="D1122" s="2" t="str">
        <f t="shared" si="16"/>
        <v>Error?</v>
      </c>
    </row>
    <row r="1123" spans="1:4" x14ac:dyDescent="0.2">
      <c r="A1123" s="5">
        <v>1062</v>
      </c>
      <c r="B1123" s="138">
        <f>'Expenditures 15-22'!K55</f>
        <v>227839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227839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5979</v>
      </c>
      <c r="C1127" s="2" t="s">
        <v>573</v>
      </c>
      <c r="D1127" s="2" t="str">
        <f t="shared" si="16"/>
        <v>Error?</v>
      </c>
    </row>
    <row r="1128" spans="1:4" x14ac:dyDescent="0.2">
      <c r="A1128" s="5">
        <v>1067</v>
      </c>
      <c r="B1128" s="138">
        <f>'Expenditures 15-22'!K61</f>
        <v>121025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127004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13784</v>
      </c>
      <c r="C1142" s="2" t="s">
        <v>573</v>
      </c>
      <c r="D1142" s="2" t="str">
        <f t="shared" si="16"/>
        <v>Error?</v>
      </c>
    </row>
    <row r="1143" spans="1:4" x14ac:dyDescent="0.2">
      <c r="A1143" s="5">
        <v>1082</v>
      </c>
      <c r="B1143" s="138">
        <f>'Expenditures 15-22'!K74</f>
        <v>418378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54026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2199048</v>
      </c>
      <c r="C1152" s="2" t="s">
        <v>573</v>
      </c>
      <c r="D1152" s="2" t="str">
        <f t="shared" si="17"/>
        <v>Error?</v>
      </c>
    </row>
    <row r="1153" spans="1:4" x14ac:dyDescent="0.2">
      <c r="A1153" s="5">
        <v>1092</v>
      </c>
      <c r="B1153" s="138">
        <f>'Expenditures 15-22'!K115</f>
        <v>-16324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268482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252158</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54026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1928699</v>
      </c>
      <c r="C2551" s="2" t="s">
        <v>573</v>
      </c>
      <c r="D2551" s="2" t="str">
        <f t="shared" si="38"/>
        <v>Error?</v>
      </c>
    </row>
    <row r="2552" spans="1:4" x14ac:dyDescent="0.2">
      <c r="A2552" s="10">
        <v>2491</v>
      </c>
      <c r="D2552" s="2" t="str">
        <f t="shared" si="38"/>
        <v>OK</v>
      </c>
    </row>
    <row r="2553" spans="1:4" x14ac:dyDescent="0.2">
      <c r="A2553" s="5">
        <v>2492</v>
      </c>
      <c r="B2553" s="138">
        <f>'Acct Summary 7-8'!C6</f>
        <v>254025</v>
      </c>
      <c r="C2553" s="2" t="s">
        <v>573</v>
      </c>
      <c r="D2553" s="2" t="str">
        <f t="shared" si="38"/>
        <v>Error?</v>
      </c>
    </row>
    <row r="2554" spans="1:4" x14ac:dyDescent="0.2">
      <c r="A2554" s="5">
        <v>2493</v>
      </c>
      <c r="B2554" s="138">
        <f>'Acct Summary 7-8'!C7</f>
        <v>0</v>
      </c>
      <c r="C2554" s="2" t="s">
        <v>573</v>
      </c>
      <c r="D2554" s="2" t="str">
        <f t="shared" si="38"/>
        <v>Error?</v>
      </c>
    </row>
    <row r="2555" spans="1:4" x14ac:dyDescent="0.2">
      <c r="A2555" s="5">
        <v>2494</v>
      </c>
      <c r="B2555" s="138">
        <f>'Acct Summary 7-8'!C8</f>
        <v>2182724</v>
      </c>
      <c r="C2555" s="2" t="s">
        <v>573</v>
      </c>
      <c r="D2555" s="2" t="str">
        <f t="shared" si="38"/>
        <v>Error?</v>
      </c>
    </row>
    <row r="2556" spans="1:4" x14ac:dyDescent="0.2">
      <c r="A2556" s="5">
        <v>2495</v>
      </c>
      <c r="B2556" s="138">
        <f>'Acct Summary 7-8'!C12</f>
        <v>1726644</v>
      </c>
      <c r="C2556" s="2" t="s">
        <v>573</v>
      </c>
      <c r="D2556" s="2" t="str">
        <f t="shared" si="38"/>
        <v>Error?</v>
      </c>
    </row>
    <row r="2557" spans="1:4" x14ac:dyDescent="0.2">
      <c r="A2557" s="5">
        <v>2496</v>
      </c>
      <c r="B2557" s="138">
        <f>'Acct Summary 7-8'!C13</f>
        <v>418378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54026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2199048</v>
      </c>
      <c r="C2561" s="2" t="s">
        <v>573</v>
      </c>
      <c r="D2561" s="2" t="str">
        <f t="shared" si="39"/>
        <v>Error?</v>
      </c>
    </row>
    <row r="2562" spans="1:4" x14ac:dyDescent="0.2">
      <c r="A2562" s="5">
        <v>2501</v>
      </c>
      <c r="B2562" s="138">
        <f>'Acct Summary 7-8'!C20</f>
        <v>-16324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54026</v>
      </c>
      <c r="C2789" s="2" t="s">
        <v>573</v>
      </c>
      <c r="D2789" s="2" t="str">
        <f t="shared" si="42"/>
        <v>Error?</v>
      </c>
    </row>
    <row r="2790" spans="1:4" x14ac:dyDescent="0.2">
      <c r="A2790" s="5">
        <v>2729</v>
      </c>
      <c r="B2790" s="138">
        <f>'Expenditures 15-22'!E102</f>
        <v>54026</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54026</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54026</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-16324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50620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50620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777464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2182724</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2199048</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252158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1669316</v>
      </c>
      <c r="D5079" s="2" t="str">
        <f t="shared" si="78"/>
        <v>Error?</v>
      </c>
    </row>
    <row r="5080" spans="1:4" x14ac:dyDescent="0.2">
      <c r="A5080" s="5">
        <v>5019</v>
      </c>
      <c r="B5080" s="138">
        <f>'Revenues 9-14'!C30</f>
        <v>150911</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1820227</v>
      </c>
      <c r="C5087" s="2" t="s">
        <v>573</v>
      </c>
      <c r="D5087" s="2" t="str">
        <f t="shared" si="78"/>
        <v>Error?</v>
      </c>
    </row>
    <row r="5088" spans="1:4" x14ac:dyDescent="0.2">
      <c r="A5088" s="5">
        <v>5027</v>
      </c>
      <c r="B5088" s="138">
        <f>'Revenues 9-14'!C65</f>
        <v>854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854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14573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14573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619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2096</v>
      </c>
      <c r="D5116" s="2" t="str">
        <f t="shared" si="78"/>
        <v>Error?</v>
      </c>
    </row>
    <row r="5117" spans="1:4" x14ac:dyDescent="0.2">
      <c r="A5117" s="5">
        <v>5056</v>
      </c>
      <c r="B5117" s="138">
        <f>'Revenues 9-14'!C105</f>
        <v>82159</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8171</v>
      </c>
      <c r="D5119" s="2" t="str">
        <f t="shared" ref="D5119:D5182" si="79">IF(ISBLANK(B5119),"OK",IF(A5119-B5119=0,"OK","Error?"))</f>
        <v>Error?</v>
      </c>
    </row>
    <row r="5120" spans="1:4" x14ac:dyDescent="0.2">
      <c r="A5120" s="5">
        <v>5059</v>
      </c>
      <c r="B5120" s="138">
        <f>'Revenues 9-14'!C108</f>
        <v>93045</v>
      </c>
      <c r="C5120" s="2" t="s">
        <v>573</v>
      </c>
      <c r="D5120" s="2" t="str">
        <f t="shared" si="79"/>
        <v>Error?</v>
      </c>
    </row>
    <row r="5121" spans="1:4" x14ac:dyDescent="0.2">
      <c r="A5121" s="5">
        <v>5060</v>
      </c>
      <c r="B5121" s="138">
        <f>'Revenues 9-14'!C109</f>
        <v>1928699</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254025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254025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254025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254025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0</v>
      </c>
      <c r="C5326" s="2" t="s">
        <v>573</v>
      </c>
      <c r="D5326" s="2" t="str">
        <f t="shared" si="82"/>
        <v>Error?</v>
      </c>
    </row>
    <row r="5327" spans="1:5" x14ac:dyDescent="0.2">
      <c r="A5327" s="5">
        <v>5266</v>
      </c>
      <c r="B5327" s="138">
        <f>'Revenues 9-14'!C268</f>
        <v>2182724</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1000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14681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395892</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20036</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125059</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-16324</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-6.4737188588107453E-2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8124</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8124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608</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608</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608</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8732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8732</v>
      </c>
      <c r="D7624" s="2" t="str">
        <f t="shared" si="124"/>
        <v>Error?</v>
      </c>
      <c r="E7624" s="2" t="s">
        <v>19</v>
      </c>
    </row>
    <row r="7625" spans="1:5" x14ac:dyDescent="0.2">
      <c r="A7625">
        <f t="shared" si="123"/>
        <v>7564</v>
      </c>
      <c r="B7625" s="138">
        <f>'Cap Outlay Deprec 26'!I17</f>
        <v>873.2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873.2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127613</v>
      </c>
      <c r="D7797" s="2" t="str">
        <f t="shared" si="127"/>
        <v>Error?</v>
      </c>
      <c r="E7797" s="4" t="s">
        <v>1904</v>
      </c>
    </row>
    <row r="7798" spans="1:5" x14ac:dyDescent="0.2">
      <c r="A7798">
        <v>7737</v>
      </c>
      <c r="B7798" s="138">
        <f>'Contracts Paid in CY 29'!F141</f>
        <v>75000</v>
      </c>
      <c r="D7798" s="2" t="str">
        <f t="shared" si="127"/>
        <v>Error?</v>
      </c>
      <c r="E7798" s="4" t="s">
        <v>1904</v>
      </c>
    </row>
    <row r="7799" spans="1:5" x14ac:dyDescent="0.2">
      <c r="A7799">
        <v>7738</v>
      </c>
      <c r="B7799" s="138">
        <f>'Contracts Paid in CY 29'!G141</f>
        <v>52613</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1" t="s">
        <v>1191</v>
      </c>
      <c r="B2" s="2401"/>
      <c r="C2" s="2401"/>
      <c r="D2" s="2401"/>
      <c r="E2" s="2401"/>
      <c r="F2" s="2401"/>
      <c r="G2" s="2401"/>
      <c r="H2" s="2401"/>
      <c r="I2" s="2401"/>
      <c r="J2" s="2401"/>
      <c r="K2" s="2401"/>
      <c r="L2" s="2401"/>
    </row>
    <row r="3" spans="1:29" ht="13.5" customHeight="1" x14ac:dyDescent="0.2">
      <c r="A3" s="2387" t="s">
        <v>1190</v>
      </c>
      <c r="B3" s="2387"/>
      <c r="C3" s="2387"/>
      <c r="D3" s="2387"/>
      <c r="E3" s="2387"/>
      <c r="F3" s="2387"/>
      <c r="G3" s="2387"/>
      <c r="H3" s="2387"/>
      <c r="I3" s="2387"/>
      <c r="J3" s="2387"/>
      <c r="K3" s="2387"/>
      <c r="L3" s="2387"/>
    </row>
    <row r="4" spans="1:29" ht="13.5" customHeight="1" x14ac:dyDescent="0.2">
      <c r="A4" s="2401" t="s">
        <v>1989</v>
      </c>
      <c r="B4" s="2418"/>
      <c r="C4" s="2418"/>
      <c r="D4" s="2418"/>
      <c r="E4" s="2418"/>
      <c r="F4" s="2418"/>
      <c r="G4" s="2418"/>
      <c r="H4" s="2418"/>
      <c r="I4" s="2418"/>
      <c r="J4" s="2418"/>
      <c r="K4" s="2418"/>
      <c r="L4" s="2418"/>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1" t="str">
        <f>COVER!A17</f>
        <v>Fox Valley Career Center</v>
      </c>
      <c r="B7" s="2382"/>
      <c r="C7" s="2382"/>
      <c r="D7" s="2419"/>
      <c r="E7" s="2420">
        <f>COVER!A13</f>
        <v>31045302041</v>
      </c>
      <c r="F7" s="2421"/>
      <c r="G7" s="2388" t="str">
        <f>COVER!T23</f>
        <v>065-033233</v>
      </c>
      <c r="H7" s="2389"/>
      <c r="I7" s="2389"/>
      <c r="J7" s="2389"/>
      <c r="K7" s="2389"/>
      <c r="L7" s="239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1"/>
      <c r="B9" s="2392"/>
      <c r="C9" s="2392"/>
      <c r="D9" s="2392"/>
      <c r="E9" s="2392"/>
      <c r="F9" s="2393"/>
      <c r="G9" s="2394" t="str">
        <f>COVER!T13</f>
        <v>Lauterbach &amp; Amen, LLP</v>
      </c>
      <c r="H9" s="2395"/>
      <c r="I9" s="2395"/>
      <c r="J9" s="2395"/>
      <c r="K9" s="2395"/>
      <c r="L9" s="2396"/>
    </row>
    <row r="10" spans="1:29" ht="13.5" customHeight="1" x14ac:dyDescent="0.2">
      <c r="A10" s="2378" t="str">
        <f>COVER!A38</f>
        <v>Dr. Todd Leden</v>
      </c>
      <c r="B10" s="2379"/>
      <c r="C10" s="2379"/>
      <c r="D10" s="2379"/>
      <c r="E10" s="2379"/>
      <c r="F10" s="2380"/>
      <c r="G10" s="2394" t="str">
        <f>COVER!T17</f>
        <v>668 N. River Road</v>
      </c>
      <c r="H10" s="2407"/>
      <c r="I10" s="2407"/>
      <c r="J10" s="2407"/>
      <c r="K10" s="2407"/>
      <c r="L10" s="2408"/>
    </row>
    <row r="11" spans="1:29" ht="13.5" customHeight="1" x14ac:dyDescent="0.2">
      <c r="A11" s="1184" t="s">
        <v>1519</v>
      </c>
      <c r="B11" s="1185"/>
      <c r="C11" s="1186"/>
      <c r="D11" s="1191"/>
      <c r="E11" s="1186"/>
      <c r="F11" s="1190"/>
      <c r="G11" s="2394" t="str">
        <f>COVER!T19</f>
        <v>Naperville</v>
      </c>
      <c r="H11" s="2407"/>
      <c r="I11" s="2407"/>
      <c r="J11" s="2407"/>
      <c r="K11" s="2407"/>
      <c r="L11" s="2408"/>
    </row>
    <row r="12" spans="1:29" ht="13.5" customHeight="1" x14ac:dyDescent="0.2">
      <c r="A12" s="2412" t="s">
        <v>1518</v>
      </c>
      <c r="B12" s="2413"/>
      <c r="C12" s="2413"/>
      <c r="D12" s="2413"/>
      <c r="E12" s="2413"/>
      <c r="F12" s="2414"/>
      <c r="G12" s="2409"/>
      <c r="H12" s="2410"/>
      <c r="I12" s="2410"/>
      <c r="J12" s="2410"/>
      <c r="K12" s="2410"/>
      <c r="L12" s="2411"/>
    </row>
    <row r="13" spans="1:29" ht="13.5" customHeight="1" x14ac:dyDescent="0.2">
      <c r="A13" s="2394"/>
      <c r="B13" s="2407"/>
      <c r="C13" s="2407"/>
      <c r="D13" s="2407"/>
      <c r="E13" s="2407"/>
      <c r="F13" s="2408"/>
      <c r="G13" s="2402" t="s">
        <v>1520</v>
      </c>
      <c r="H13" s="2403"/>
      <c r="I13" s="2415" t="str">
        <f>COVER!T25</f>
        <v>mberan@lauterbachamen.com</v>
      </c>
      <c r="J13" s="2416"/>
      <c r="K13" s="2416"/>
      <c r="L13" s="2417"/>
    </row>
    <row r="14" spans="1:29" ht="13.5" customHeight="1" x14ac:dyDescent="0.2">
      <c r="A14" s="2394" t="str">
        <f>COVER!A19</f>
        <v>47W326 Keslinger Road</v>
      </c>
      <c r="B14" s="2407"/>
      <c r="C14" s="2407"/>
      <c r="D14" s="2407"/>
      <c r="E14" s="2407"/>
      <c r="F14" s="2408"/>
      <c r="G14" s="1195" t="s">
        <v>1185</v>
      </c>
      <c r="H14" s="1193"/>
      <c r="I14" s="1193"/>
      <c r="J14" s="1193"/>
      <c r="K14" s="1193"/>
      <c r="L14" s="1194"/>
    </row>
    <row r="15" spans="1:29" ht="13.5" customHeight="1" x14ac:dyDescent="0.2">
      <c r="A15" s="2394" t="str">
        <f>COVER!A21</f>
        <v>Maple Park</v>
      </c>
      <c r="B15" s="2407"/>
      <c r="C15" s="2407"/>
      <c r="D15" s="2407"/>
      <c r="E15" s="2407"/>
      <c r="F15" s="2408"/>
      <c r="G15" s="2404" t="str">
        <f>COVER!T15</f>
        <v>Matt Beran</v>
      </c>
      <c r="H15" s="2405"/>
      <c r="I15" s="2405"/>
      <c r="J15" s="2405"/>
      <c r="K15" s="2405"/>
      <c r="L15" s="2406"/>
    </row>
    <row r="16" spans="1:29" ht="12.2" customHeight="1" x14ac:dyDescent="0.2">
      <c r="A16" s="2384">
        <f>COVER!A25</f>
        <v>60151</v>
      </c>
      <c r="B16" s="2385"/>
      <c r="C16" s="2385"/>
      <c r="D16" s="2385"/>
      <c r="E16" s="2385"/>
      <c r="F16" s="2386"/>
      <c r="G16" s="2397"/>
      <c r="H16" s="2398"/>
      <c r="I16" s="2398"/>
      <c r="J16" s="2398"/>
      <c r="K16" s="2398"/>
      <c r="L16" s="2399"/>
    </row>
    <row r="17" spans="1:13" ht="12.2" customHeight="1" x14ac:dyDescent="0.2">
      <c r="A17" s="2400"/>
      <c r="B17" s="2385"/>
      <c r="C17" s="2385"/>
      <c r="D17" s="2385"/>
      <c r="E17" s="2385"/>
      <c r="F17" s="2386"/>
      <c r="G17" s="1195" t="s">
        <v>1184</v>
      </c>
      <c r="H17" s="1193"/>
      <c r="I17" s="1193"/>
      <c r="J17" s="1193"/>
      <c r="K17" s="1197" t="s">
        <v>1183</v>
      </c>
      <c r="L17" s="1190"/>
      <c r="M17" s="1183"/>
    </row>
    <row r="18" spans="1:13" ht="12.2" customHeight="1" x14ac:dyDescent="0.2">
      <c r="A18" s="2378"/>
      <c r="B18" s="2379"/>
      <c r="C18" s="2379"/>
      <c r="D18" s="2379"/>
      <c r="E18" s="2379"/>
      <c r="F18" s="2380"/>
      <c r="G18" s="2381">
        <f>COVER!T21</f>
        <v>6303931483</v>
      </c>
      <c r="H18" s="2382"/>
      <c r="I18" s="2382"/>
      <c r="J18" s="2382"/>
      <c r="K18" s="2381">
        <f>COVER!X21</f>
        <v>6303932516</v>
      </c>
      <c r="L18" s="238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Fox Valley Career Center</v>
      </c>
      <c r="B1" s="2418"/>
      <c r="C1" s="2418"/>
      <c r="D1" s="2418"/>
    </row>
    <row r="2" spans="1:11" s="1212" customFormat="1" ht="12.75" x14ac:dyDescent="0.2">
      <c r="A2" s="2423">
        <f>'Single Audit Cover'!E7</f>
        <v>31045302041</v>
      </c>
      <c r="B2" s="2424"/>
      <c r="C2" s="2424"/>
      <c r="D2" s="2424"/>
    </row>
    <row r="3" spans="1:11" s="1212" customFormat="1" ht="12.75" x14ac:dyDescent="0.2">
      <c r="A3" s="2422" t="s">
        <v>1513</v>
      </c>
      <c r="B3" s="2418"/>
      <c r="C3" s="2418"/>
      <c r="D3" s="2418"/>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Fox Valley Career Center</v>
      </c>
      <c r="B1" s="2426"/>
      <c r="C1" s="2426"/>
      <c r="D1" s="2426"/>
      <c r="E1" s="2426"/>
    </row>
    <row r="2" spans="1:5" x14ac:dyDescent="0.2">
      <c r="A2" s="2427">
        <f>'Single Audit Cover'!E7</f>
        <v>31045302041</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0</v>
      </c>
    </row>
    <row r="19" spans="1:4" ht="13.5" thickBot="1" x14ac:dyDescent="0.25">
      <c r="A19" s="1262" t="s">
        <v>1235</v>
      </c>
      <c r="D19" s="1263">
        <f>SUM(D10:D17)</f>
        <v>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7" t="str">
        <f>'Single Audit Cover'!A7</f>
        <v>Fox Valley Career Center</v>
      </c>
      <c r="C1" s="2430"/>
      <c r="D1" s="2430"/>
      <c r="E1" s="2430"/>
      <c r="F1" s="2430"/>
      <c r="G1" s="2430"/>
      <c r="H1" s="2430"/>
      <c r="I1" s="2430"/>
      <c r="J1" s="2430"/>
      <c r="K1" s="2430"/>
      <c r="L1" s="2430"/>
      <c r="M1" s="2430"/>
    </row>
    <row r="2" spans="2:14" ht="15" x14ac:dyDescent="0.2">
      <c r="B2" s="2431">
        <f>'Single Audit Cover'!E7</f>
        <v>31045302041</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5" t="str">
        <f>'Single Audit Cover'!A7</f>
        <v>Fox Valley Career Center</v>
      </c>
      <c r="B1" s="2435"/>
      <c r="C1" s="2435"/>
      <c r="D1" s="2435"/>
      <c r="E1" s="2435"/>
      <c r="F1" s="2435"/>
    </row>
    <row r="2" spans="1:7" ht="13.5" customHeight="1" x14ac:dyDescent="0.2">
      <c r="A2" s="2431">
        <f>'Single Audit Cover'!E7</f>
        <v>31045302041</v>
      </c>
      <c r="B2" s="2431"/>
      <c r="C2" s="2431"/>
      <c r="D2" s="2431"/>
      <c r="E2" s="2431"/>
      <c r="F2" s="2431"/>
      <c r="G2" s="1272"/>
    </row>
    <row r="3" spans="1:7" ht="15.75" customHeight="1" x14ac:dyDescent="0.2">
      <c r="A3" s="2436" t="s">
        <v>1271</v>
      </c>
      <c r="B3" s="2436"/>
      <c r="C3" s="2436"/>
      <c r="D3" s="2436"/>
      <c r="E3" s="2436"/>
      <c r="F3" s="2436"/>
    </row>
    <row r="4" spans="1:7" ht="13.5" customHeight="1" x14ac:dyDescent="0.2">
      <c r="A4" s="2437" t="str">
        <f>'Single Audit Cover'!A4</f>
        <v>Year Ending June 30, 2019</v>
      </c>
      <c r="B4" s="2437"/>
      <c r="C4" s="2437"/>
      <c r="D4" s="2437"/>
      <c r="E4" s="2437"/>
      <c r="F4" s="2437"/>
    </row>
    <row r="5" spans="1:7" ht="8.25" customHeight="1" x14ac:dyDescent="0.2">
      <c r="C5" s="317"/>
      <c r="D5" s="317"/>
    </row>
    <row r="6" spans="1:7" ht="13.5" customHeight="1" x14ac:dyDescent="0.2">
      <c r="A6" s="1273" t="s">
        <v>1728</v>
      </c>
      <c r="C6" s="317"/>
      <c r="D6" s="317"/>
    </row>
    <row r="7" spans="1:7" ht="60.95" customHeight="1" x14ac:dyDescent="0.2">
      <c r="A7" s="2434" t="s">
        <v>1729</v>
      </c>
      <c r="B7" s="2434"/>
      <c r="C7" s="2434"/>
      <c r="D7" s="2434"/>
      <c r="E7" s="2434"/>
      <c r="F7" s="2434"/>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4" t="s">
        <v>1731</v>
      </c>
      <c r="B13" s="2434"/>
      <c r="C13" s="2434"/>
      <c r="D13" s="2434"/>
      <c r="E13" s="2434"/>
      <c r="F13" s="2434"/>
    </row>
    <row r="14" spans="1:7" ht="9.75" customHeight="1" x14ac:dyDescent="0.2">
      <c r="C14" s="1257"/>
      <c r="D14" s="1257"/>
    </row>
    <row r="15" spans="1:7" ht="13.5" customHeight="1" x14ac:dyDescent="0.2">
      <c r="C15" s="1846" t="s">
        <v>1270</v>
      </c>
      <c r="D15" s="2439" t="s">
        <v>1269</v>
      </c>
      <c r="E15" s="2439"/>
      <c r="F15" s="2439"/>
    </row>
    <row r="16" spans="1:7" ht="13.5" customHeight="1" x14ac:dyDescent="0.2">
      <c r="A16" s="1279"/>
      <c r="B16" s="1273" t="s">
        <v>1268</v>
      </c>
      <c r="C16" s="1846" t="s">
        <v>1267</v>
      </c>
      <c r="D16" s="2440" t="s">
        <v>1588</v>
      </c>
      <c r="E16" s="2440"/>
      <c r="F16" s="2440"/>
    </row>
    <row r="17" spans="1:6" ht="20.45" customHeight="1" x14ac:dyDescent="0.2">
      <c r="A17" s="1280"/>
      <c r="B17" s="1281"/>
      <c r="C17" s="1282"/>
      <c r="D17" s="2438"/>
      <c r="E17" s="2438"/>
      <c r="F17" s="2438"/>
    </row>
    <row r="18" spans="1:6" ht="20.65" customHeight="1" x14ac:dyDescent="0.2">
      <c r="A18" s="1280"/>
      <c r="B18" s="1281"/>
      <c r="C18" s="1282"/>
      <c r="D18" s="2438"/>
      <c r="E18" s="2438"/>
      <c r="F18" s="2438"/>
    </row>
    <row r="19" spans="1:6" ht="20.65" customHeight="1" x14ac:dyDescent="0.2">
      <c r="A19" s="1280"/>
      <c r="B19" s="1281"/>
      <c r="C19" s="1282"/>
      <c r="D19" s="2438"/>
      <c r="E19" s="2438"/>
      <c r="F19" s="2438"/>
    </row>
    <row r="20" spans="1:6" ht="20.65" customHeight="1" x14ac:dyDescent="0.2">
      <c r="A20" s="1280"/>
      <c r="B20" s="1281"/>
      <c r="C20" s="1282"/>
      <c r="D20" s="2438"/>
      <c r="E20" s="2438"/>
      <c r="F20" s="2438"/>
    </row>
    <row r="21" spans="1:6" ht="20.65" customHeight="1" x14ac:dyDescent="0.2">
      <c r="A21" s="1280"/>
      <c r="B21" s="1281"/>
      <c r="C21" s="1282"/>
      <c r="D21" s="2438"/>
      <c r="E21" s="2438"/>
      <c r="F21" s="2438"/>
    </row>
    <row r="22" spans="1:6" ht="20.65" customHeight="1" x14ac:dyDescent="0.2">
      <c r="A22" s="1280"/>
      <c r="B22" s="1281"/>
      <c r="C22" s="1282"/>
      <c r="D22" s="2438"/>
      <c r="E22" s="2438"/>
      <c r="F22" s="2438"/>
    </row>
    <row r="23" spans="1:6" ht="20.65" customHeight="1" x14ac:dyDescent="0.2">
      <c r="A23" s="1280"/>
      <c r="B23" s="1281"/>
      <c r="C23" s="1282"/>
      <c r="D23" s="2438"/>
      <c r="E23" s="2438"/>
      <c r="F23" s="2438"/>
    </row>
    <row r="24" spans="1:6" ht="20.65" customHeight="1" x14ac:dyDescent="0.2">
      <c r="A24" s="1280"/>
      <c r="B24" s="1281"/>
      <c r="C24" s="1282"/>
      <c r="D24" s="2438"/>
      <c r="E24" s="2438"/>
      <c r="F24" s="2438"/>
    </row>
    <row r="25" spans="1:6" ht="20.65" customHeight="1" x14ac:dyDescent="0.2">
      <c r="A25" s="1280"/>
      <c r="B25" s="1281"/>
      <c r="C25" s="1282"/>
      <c r="D25" s="2438"/>
      <c r="E25" s="2438"/>
      <c r="F25" s="2438"/>
    </row>
    <row r="26" spans="1:6" ht="20.65" customHeight="1" x14ac:dyDescent="0.2">
      <c r="A26" s="1280"/>
      <c r="B26" s="1281"/>
      <c r="C26" s="1282"/>
      <c r="D26" s="2438"/>
      <c r="E26" s="2438"/>
      <c r="F26" s="2438"/>
    </row>
    <row r="27" spans="1:6" ht="20.65" customHeight="1" x14ac:dyDescent="0.2">
      <c r="A27" s="1280"/>
      <c r="B27" s="1281"/>
      <c r="C27" s="1282"/>
      <c r="D27" s="2438"/>
      <c r="E27" s="2438"/>
      <c r="F27" s="2438"/>
    </row>
    <row r="28" spans="1:6" ht="20.65" customHeight="1" x14ac:dyDescent="0.2">
      <c r="A28" s="1280"/>
      <c r="B28" s="1281"/>
      <c r="C28" s="1282"/>
      <c r="D28" s="2438"/>
      <c r="E28" s="2438"/>
      <c r="F28" s="2438"/>
    </row>
    <row r="29" spans="1:6" ht="20.65" customHeight="1" x14ac:dyDescent="0.2">
      <c r="A29" s="1280"/>
      <c r="B29" s="1281"/>
      <c r="C29" s="1282"/>
      <c r="D29" s="2438"/>
      <c r="E29" s="2438"/>
      <c r="F29" s="2438"/>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1" t="s">
        <v>1551</v>
      </c>
      <c r="C51" s="2441"/>
      <c r="D51" s="2441"/>
    </row>
    <row r="52" spans="1:5" ht="14.25" customHeight="1" x14ac:dyDescent="0.2">
      <c r="A52" s="1298"/>
      <c r="B52" s="2441"/>
      <c r="C52" s="2441"/>
      <c r="D52" s="2441"/>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77"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t="s">
        <v>2066</v>
      </c>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9" zoomScale="110" zoomScaleNormal="110" workbookViewId="0">
      <selection activeCell="B45" sqref="B45"/>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Fox Valley Career Center</v>
      </c>
      <c r="C1" s="2451"/>
      <c r="D1" s="2451"/>
      <c r="E1" s="2451"/>
      <c r="F1" s="2451"/>
      <c r="G1" s="2451"/>
      <c r="H1" s="2451"/>
      <c r="I1" s="2451"/>
      <c r="J1" s="1406"/>
    </row>
    <row r="2" spans="2:10" s="317" customFormat="1" ht="12.75" customHeight="1" x14ac:dyDescent="0.2">
      <c r="B2" s="2452">
        <f>'Single Audit Cover'!E7</f>
        <v>31045302041</v>
      </c>
      <c r="C2" s="2453"/>
      <c r="D2" s="2453"/>
      <c r="E2" s="2453"/>
      <c r="F2" s="2453"/>
      <c r="G2" s="2453"/>
      <c r="H2" s="2453"/>
      <c r="I2" s="2453"/>
      <c r="J2" s="1406"/>
    </row>
    <row r="3" spans="2:10" s="317" customFormat="1" ht="12.75" customHeight="1" x14ac:dyDescent="0.2">
      <c r="B3" s="2454" t="s">
        <v>1285</v>
      </c>
      <c r="C3" s="2455"/>
      <c r="D3" s="2455"/>
      <c r="E3" s="2455"/>
      <c r="F3" s="2455"/>
      <c r="G3" s="2455"/>
      <c r="H3" s="2455"/>
      <c r="I3" s="2455"/>
      <c r="J3" s="1407"/>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4" t="s">
        <v>1284</v>
      </c>
      <c r="C7" s="2455"/>
      <c r="D7" s="2455"/>
      <c r="E7" s="2455"/>
      <c r="F7" s="2455"/>
      <c r="G7" s="2455"/>
      <c r="H7" s="2455"/>
      <c r="I7" s="2455"/>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6"/>
      <c r="D11" s="2456"/>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7"/>
      <c r="E29" s="2457"/>
      <c r="F29" s="2457"/>
      <c r="G29" s="2457"/>
      <c r="H29" s="2457"/>
      <c r="I29" s="2457"/>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8" t="s">
        <v>1751</v>
      </c>
      <c r="D37" s="2459"/>
      <c r="E37" s="2459"/>
      <c r="F37" s="2460"/>
      <c r="G37" s="2458" t="s">
        <v>1592</v>
      </c>
      <c r="H37" s="2459"/>
      <c r="I37" s="2460"/>
    </row>
    <row r="38" spans="2:9" ht="16.5" customHeight="1" x14ac:dyDescent="0.2">
      <c r="B38" s="1428"/>
      <c r="C38" s="2446"/>
      <c r="D38" s="2447"/>
      <c r="E38" s="2447"/>
      <c r="F38" s="2448"/>
      <c r="G38" s="2461"/>
      <c r="H38" s="2462"/>
      <c r="I38" s="2463"/>
    </row>
    <row r="39" spans="2:9" ht="16.5" customHeight="1" x14ac:dyDescent="0.2">
      <c r="B39" s="1428"/>
      <c r="C39" s="2446"/>
      <c r="D39" s="2447"/>
      <c r="E39" s="2447"/>
      <c r="F39" s="2448"/>
      <c r="G39" s="2449"/>
      <c r="H39" s="2449"/>
      <c r="I39" s="2449"/>
    </row>
    <row r="40" spans="2:9" ht="16.5" customHeight="1" x14ac:dyDescent="0.2">
      <c r="B40" s="1428"/>
      <c r="C40" s="2446"/>
      <c r="D40" s="2447"/>
      <c r="E40" s="2447"/>
      <c r="F40" s="2448"/>
      <c r="G40" s="2449"/>
      <c r="H40" s="2449"/>
      <c r="I40" s="2449"/>
    </row>
    <row r="41" spans="2:9" ht="16.5" customHeight="1" x14ac:dyDescent="0.2">
      <c r="B41" s="1428"/>
      <c r="C41" s="2446"/>
      <c r="D41" s="2447"/>
      <c r="E41" s="2447"/>
      <c r="F41" s="2448"/>
      <c r="G41" s="2449"/>
      <c r="H41" s="2449"/>
      <c r="I41" s="2449"/>
    </row>
    <row r="42" spans="2:9" ht="16.5" customHeight="1" x14ac:dyDescent="0.2">
      <c r="B42" s="1428"/>
      <c r="C42" s="2446"/>
      <c r="D42" s="2447"/>
      <c r="E42" s="2447"/>
      <c r="F42" s="2448"/>
      <c r="G42" s="2449"/>
      <c r="H42" s="2449"/>
      <c r="I42" s="2449"/>
    </row>
    <row r="43" spans="2:9" ht="16.5" customHeight="1" x14ac:dyDescent="0.2">
      <c r="B43" s="1428"/>
      <c r="C43" s="2464" t="s">
        <v>1593</v>
      </c>
      <c r="D43" s="2465"/>
      <c r="E43" s="2465"/>
      <c r="F43" s="2466"/>
      <c r="G43" s="2467">
        <f>SUM(G38:I42)</f>
        <v>0</v>
      </c>
      <c r="H43" s="2467"/>
      <c r="I43" s="2467"/>
    </row>
    <row r="44" spans="2:9" ht="12.75" customHeight="1" x14ac:dyDescent="0.2"/>
    <row r="45" spans="2:9" ht="12.75" customHeight="1" x14ac:dyDescent="0.2">
      <c r="B45" s="1419" t="s">
        <v>1841</v>
      </c>
      <c r="D45" s="2468">
        <v>0</v>
      </c>
      <c r="E45" s="246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0"/>
      <c r="F49" s="2470"/>
      <c r="G49" s="247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Fox Valley Career Center</v>
      </c>
      <c r="C1" s="2450"/>
      <c r="D1" s="2450"/>
      <c r="E1" s="2450"/>
      <c r="F1" s="2450"/>
      <c r="G1" s="2450"/>
      <c r="H1" s="2450"/>
      <c r="I1" s="2450"/>
      <c r="J1" s="2450"/>
      <c r="K1" s="2450"/>
      <c r="L1" s="1371"/>
      <c r="M1" s="1371"/>
    </row>
    <row r="2" spans="1:13" ht="12" customHeight="1" x14ac:dyDescent="0.2">
      <c r="B2" s="2452">
        <f>'Single Audit Cover'!E7</f>
        <v>31045302041</v>
      </c>
      <c r="C2" s="2452"/>
      <c r="D2" s="2452"/>
      <c r="E2" s="2452"/>
      <c r="F2" s="2452"/>
      <c r="G2" s="2452"/>
      <c r="H2" s="2452"/>
      <c r="I2" s="2452"/>
      <c r="J2" s="2452"/>
      <c r="K2" s="2452"/>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Fox Valley Career Center</v>
      </c>
      <c r="C1" s="2477"/>
      <c r="D1" s="2477"/>
      <c r="E1" s="2477"/>
      <c r="F1" s="2477"/>
      <c r="G1" s="2477"/>
      <c r="H1" s="2477"/>
      <c r="I1" s="2477"/>
      <c r="J1" s="2477"/>
      <c r="K1" s="2477"/>
      <c r="L1" s="1449"/>
    </row>
    <row r="2" spans="1:12" ht="12.75" customHeight="1" x14ac:dyDescent="0.2">
      <c r="B2" s="2478">
        <f>'Single Audit Cover'!E7</f>
        <v>31045302041</v>
      </c>
      <c r="C2" s="2478"/>
      <c r="D2" s="2478"/>
      <c r="E2" s="2478"/>
      <c r="F2" s="2478"/>
      <c r="G2" s="2478"/>
      <c r="H2" s="2478"/>
      <c r="I2" s="2478"/>
      <c r="J2" s="2478"/>
      <c r="K2" s="2478"/>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7"/>
      <c r="G12" s="2457"/>
      <c r="H12" s="2457"/>
      <c r="I12" s="2457"/>
      <c r="J12" s="2457"/>
      <c r="K12" s="2457"/>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0"/>
      <c r="E14" s="2480"/>
      <c r="F14" s="2480"/>
      <c r="H14" s="1459" t="s">
        <v>1303</v>
      </c>
      <c r="I14" s="2481"/>
      <c r="J14" s="2481"/>
      <c r="K14" s="2481"/>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1"/>
      <c r="E16" s="2481"/>
      <c r="F16" s="2481"/>
      <c r="G16" s="2481"/>
      <c r="H16" s="2481"/>
      <c r="I16" s="2481"/>
      <c r="J16" s="2481"/>
      <c r="K16" s="2481"/>
      <c r="L16" s="322"/>
    </row>
    <row r="17" spans="2:12" ht="13.5" customHeight="1" x14ac:dyDescent="0.2">
      <c r="B17" s="1384" t="s">
        <v>1301</v>
      </c>
      <c r="C17" s="1384"/>
      <c r="D17" s="2482"/>
      <c r="E17" s="2482"/>
      <c r="F17" s="2482"/>
      <c r="G17" s="2482"/>
      <c r="H17" s="2482"/>
      <c r="I17" s="2482"/>
      <c r="J17" s="2482"/>
      <c r="K17" s="2482"/>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0" t="str">
        <f>'Single Audit Cover'!A7</f>
        <v>Fox Valley Career Center</v>
      </c>
      <c r="C1" s="2450"/>
      <c r="D1" s="2450"/>
      <c r="E1" s="1469"/>
    </row>
    <row r="2" spans="2:5" s="1279" customFormat="1" ht="12.75" customHeight="1" x14ac:dyDescent="0.2">
      <c r="B2" s="2452">
        <f>'Single Audit Cover'!E7</f>
        <v>31045302041</v>
      </c>
      <c r="C2" s="2452"/>
      <c r="D2" s="2452"/>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9" colorId="8" zoomScale="110" zoomScaleNormal="110" workbookViewId="0">
      <selection activeCell="D16" sqref="D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2182724</v>
      </c>
      <c r="E16" s="356"/>
      <c r="F16" s="1733">
        <f>SUM('Acct Summary 7-8'!C17,'Acct Summary 7-8'!D17,'Acct Summary 7-8'!F17)</f>
        <v>2199048</v>
      </c>
      <c r="G16" s="356"/>
      <c r="H16" s="1733">
        <f>SUM(D16-F16)</f>
        <v>-16324</v>
      </c>
      <c r="I16" s="222"/>
      <c r="J16" s="1733">
        <f>SUM('Acct Summary 7-8'!C81,'Acct Summary 7-8'!D81,'Acct Summary 7-8'!F81,'Acct Summary 7-8'!I81)</f>
        <v>252158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Fox Valley Career Center</v>
      </c>
      <c r="E7" s="391"/>
      <c r="G7" s="252"/>
      <c r="H7" s="387"/>
      <c r="I7" s="387"/>
      <c r="J7" s="387"/>
      <c r="K7" s="387"/>
      <c r="L7" s="329"/>
      <c r="M7" s="329"/>
      <c r="N7" s="329"/>
      <c r="O7" s="329"/>
      <c r="P7" s="329"/>
    </row>
    <row r="8" spans="1:18" ht="12.75" x14ac:dyDescent="0.2">
      <c r="A8" s="329"/>
      <c r="B8" s="329"/>
      <c r="C8" s="389" t="s">
        <v>1125</v>
      </c>
      <c r="D8" s="392">
        <f>COVER!A13</f>
        <v>31045302041</v>
      </c>
      <c r="E8" s="393"/>
      <c r="G8" s="329"/>
      <c r="H8" s="329"/>
      <c r="I8" s="329"/>
      <c r="J8" s="329"/>
      <c r="K8" s="329"/>
      <c r="L8" s="329"/>
      <c r="M8" s="329"/>
      <c r="N8" s="329"/>
      <c r="O8" s="329"/>
      <c r="P8" s="329"/>
    </row>
    <row r="9" spans="1:18" ht="12.75" x14ac:dyDescent="0.2">
      <c r="A9" s="329"/>
      <c r="B9" s="329"/>
      <c r="C9" s="389" t="s">
        <v>713</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252158</v>
      </c>
      <c r="I12" s="404"/>
      <c r="J12" s="404"/>
      <c r="K12" s="405">
        <f>TRUNC((H12/H13*100000),5)/100000</f>
        <v>0.1155244547</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2182724</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2199048</v>
      </c>
      <c r="I17" s="404"/>
      <c r="J17" s="416"/>
      <c r="K17" s="405">
        <f>TRUNC((H17/H18*100000),5)/100000</f>
        <v>1.0074787284</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2182724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2.0758147</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777464</v>
      </c>
      <c r="I24" s="422"/>
      <c r="J24" s="422"/>
      <c r="K24" s="423">
        <f>TRUNC(((H24/H25*100000)/100000),2)</f>
        <v>127.27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6108.4666699999998</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26" sqref="C2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777464</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v>1000</v>
      </c>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14681</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793145</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v>395892</v>
      </c>
      <c r="D26" s="467"/>
      <c r="E26" s="467"/>
      <c r="F26" s="467"/>
      <c r="G26" s="467"/>
      <c r="H26" s="467"/>
      <c r="I26" s="467"/>
      <c r="J26" s="474"/>
      <c r="K26" s="467"/>
      <c r="L26" s="468"/>
      <c r="M26" s="468"/>
      <c r="N26" s="468"/>
    </row>
    <row r="27" spans="1:14" ht="13.5" customHeight="1" x14ac:dyDescent="0.2">
      <c r="A27" s="473" t="s">
        <v>647</v>
      </c>
      <c r="B27" s="470">
        <v>430</v>
      </c>
      <c r="C27" s="467">
        <f>20036</f>
        <v>20036</v>
      </c>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125059</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540987</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252158</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793145</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C17" sqref="C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1928699</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254025</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2182724</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2182724</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1726644</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418378</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54026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2199048</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2199048</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3" t="s">
        <v>1655</v>
      </c>
      <c r="B20" s="2124"/>
      <c r="C20" s="1746">
        <f>C8-C17</f>
        <v>-16324</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-16324</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1949</v>
      </c>
      <c r="B79" s="534"/>
      <c r="C79" s="478">
        <v>268482</v>
      </c>
      <c r="D79" s="535"/>
      <c r="E79" s="535"/>
      <c r="F79" s="535"/>
      <c r="G79" s="535"/>
      <c r="H79" s="535"/>
      <c r="I79" s="535"/>
      <c r="J79" s="535"/>
      <c r="K79" s="535"/>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252158</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-16324</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-6.4737188588107453E-2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110" zoomScaleNormal="110" zoomScaleSheetLayoutView="75" workbookViewId="0">
      <pane ySplit="2" topLeftCell="A207" activePane="bottomLeft" state="frozen"/>
      <selection activeCell="F37" sqref="F37"/>
      <selection pane="bottomLeft" activeCell="C135" sqref="C13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v>1669316</v>
      </c>
      <c r="D29" s="468"/>
      <c r="E29" s="468"/>
      <c r="F29" s="468"/>
      <c r="G29" s="468"/>
      <c r="H29" s="468"/>
      <c r="I29" s="468"/>
      <c r="J29" s="468"/>
      <c r="K29" s="468"/>
    </row>
    <row r="30" spans="1:11" ht="12.75" customHeight="1" x14ac:dyDescent="0.2">
      <c r="A30" s="463" t="s">
        <v>1026</v>
      </c>
      <c r="B30" s="470">
        <v>1333</v>
      </c>
      <c r="C30" s="551">
        <v>150911</v>
      </c>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1820227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f>778+76</f>
        <v>854</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854</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14573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14573</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619</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2096</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v>82159</v>
      </c>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8171</v>
      </c>
      <c r="D107" s="466"/>
      <c r="E107" s="466"/>
      <c r="F107" s="466"/>
      <c r="G107" s="466"/>
      <c r="H107" s="466"/>
      <c r="I107" s="466"/>
      <c r="J107" s="467"/>
      <c r="K107" s="466"/>
    </row>
    <row r="108" spans="1:12" ht="12.75" customHeight="1" thickBot="1" x14ac:dyDescent="0.25">
      <c r="A108" s="1708" t="s">
        <v>487</v>
      </c>
      <c r="B108" s="1712"/>
      <c r="C108" s="1707">
        <f>SUM(C95:C107)</f>
        <v>93045</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1928699</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f>254025</f>
        <v>254025</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254025</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254025</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254025</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2182724</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Normal="100" workbookViewId="0">
      <pane ySplit="2" topLeftCell="A69" activePane="bottomLeft" state="frozen"/>
      <selection activeCell="F37" sqref="F37"/>
      <selection pane="bottomLeft" activeCell="C8" sqref="C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5"/>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1" t="s">
        <v>297</v>
      </c>
      <c r="B3" s="2162"/>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50620</v>
      </c>
      <c r="D8" s="466"/>
      <c r="E8" s="466"/>
      <c r="F8" s="466"/>
      <c r="G8" s="466"/>
      <c r="H8" s="466"/>
      <c r="I8" s="467"/>
      <c r="J8" s="467"/>
      <c r="K8" s="1671">
        <f t="shared" si="0"/>
        <v>50620</v>
      </c>
      <c r="L8" s="466">
        <v>50200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10308+21537+50960+5135+9531+34142+53117+66539+109205+48772+6349+83431+7731+35779+112112+1395+197185+10310+75833+36957</f>
        <v>976328</v>
      </c>
      <c r="D13" s="466">
        <f>22193+11356+8897+14753+247144+192+7179+7789+134+7166</f>
        <v>326803</v>
      </c>
      <c r="E13" s="466">
        <f>350+750+250+500+200+2000+100+1000+75+233+210+3000+2379+60+50+300+250+5439+300+298+200+198+303+100+200+1461+300+219+364+300+23900+1000+16000+1000+375+200+7935+3630+10139+3177+857+35</f>
        <v>89637</v>
      </c>
      <c r="F13" s="466">
        <f>2328-678+4021+1000+557+1000+257+500+1621+315+9574+8663+3000+7700+42+350+2000+404+13989+500+4660+5000+1000+200+10156+232+5556+500+5975+17+500-2996+1000+4600+7936+13500+1217+454+5278+8778+3511+14973+100</f>
        <v>149290</v>
      </c>
      <c r="G13" s="466">
        <f>9000+3900+6937+17055</f>
        <v>36892</v>
      </c>
      <c r="H13" s="466">
        <f>593+88357</f>
        <v>88950</v>
      </c>
      <c r="I13" s="467">
        <f>1400+3500+296+500+500+1000+928</f>
        <v>8124</v>
      </c>
      <c r="J13" s="467"/>
      <c r="K13" s="1671">
        <f t="shared" si="0"/>
        <v>1676024</v>
      </c>
      <c r="L13" s="466">
        <v>1681725</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1026948</v>
      </c>
      <c r="D33" s="1670">
        <f t="shared" ref="D33:L33" si="1">SUM(D5:D32)</f>
        <v>326803</v>
      </c>
      <c r="E33" s="1670">
        <f t="shared" si="1"/>
        <v>89637</v>
      </c>
      <c r="F33" s="1670">
        <f t="shared" si="1"/>
        <v>149290</v>
      </c>
      <c r="G33" s="1670">
        <f t="shared" si="1"/>
        <v>36892</v>
      </c>
      <c r="H33" s="1670">
        <f t="shared" si="1"/>
        <v>88950</v>
      </c>
      <c r="I33" s="1670">
        <f t="shared" si="1"/>
        <v>8124</v>
      </c>
      <c r="J33" s="1670">
        <f t="shared" si="1"/>
        <v>0</v>
      </c>
      <c r="K33" s="1670">
        <f t="shared" si="1"/>
        <v>1726644</v>
      </c>
      <c r="L33" s="1670">
        <f t="shared" si="1"/>
        <v>1731925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f>22500+18530</f>
        <v>41030</v>
      </c>
      <c r="D37" s="466"/>
      <c r="E37" s="466">
        <f>151+5115+175+917</f>
        <v>6358</v>
      </c>
      <c r="F37" s="466">
        <f>437+988</f>
        <v>1425</v>
      </c>
      <c r="G37" s="466"/>
      <c r="H37" s="466"/>
      <c r="I37" s="467"/>
      <c r="J37" s="467"/>
      <c r="K37" s="1671">
        <f t="shared" si="2"/>
        <v>48813</v>
      </c>
      <c r="L37" s="466">
        <v>47650</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41030</v>
      </c>
      <c r="D42" s="1670">
        <f t="shared" ref="D42:L42" si="3">SUM(D36:D41)</f>
        <v>0</v>
      </c>
      <c r="E42" s="1670">
        <f t="shared" si="3"/>
        <v>6358</v>
      </c>
      <c r="F42" s="1670">
        <f t="shared" si="3"/>
        <v>1425</v>
      </c>
      <c r="G42" s="1670">
        <f t="shared" si="3"/>
        <v>0</v>
      </c>
      <c r="H42" s="1670">
        <f t="shared" si="3"/>
        <v>0</v>
      </c>
      <c r="I42" s="1670">
        <f t="shared" si="3"/>
        <v>0</v>
      </c>
      <c r="J42" s="1670">
        <f t="shared" si="3"/>
        <v>0</v>
      </c>
      <c r="K42" s="1670">
        <f t="shared" si="3"/>
        <v>48813</v>
      </c>
      <c r="L42" s="1670">
        <f t="shared" si="3"/>
        <v>47650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330</f>
        <v>330</v>
      </c>
      <c r="D44" s="481"/>
      <c r="E44" s="481"/>
      <c r="F44" s="481"/>
      <c r="G44" s="481"/>
      <c r="H44" s="481"/>
      <c r="I44" s="467"/>
      <c r="J44" s="467"/>
      <c r="K44" s="1672">
        <f>SUM(C44:J44)</f>
        <v>330</v>
      </c>
      <c r="L44" s="481">
        <v>1000</v>
      </c>
    </row>
    <row r="45" spans="1:14" x14ac:dyDescent="0.2">
      <c r="A45" s="1504" t="s">
        <v>815</v>
      </c>
      <c r="B45" s="614">
        <v>2220</v>
      </c>
      <c r="C45" s="466"/>
      <c r="D45" s="466"/>
      <c r="E45" s="466"/>
      <c r="F45" s="466"/>
      <c r="G45" s="466"/>
      <c r="H45" s="466"/>
      <c r="I45" s="467">
        <f>608</f>
        <v>608</v>
      </c>
      <c r="J45" s="467"/>
      <c r="K45" s="1672">
        <f>SUM(C45:J45)</f>
        <v>608</v>
      </c>
      <c r="L45" s="466">
        <v>3000</v>
      </c>
    </row>
    <row r="46" spans="1:14" x14ac:dyDescent="0.2">
      <c r="A46" s="1504" t="s">
        <v>816</v>
      </c>
      <c r="B46" s="614">
        <v>2230</v>
      </c>
      <c r="C46" s="466"/>
      <c r="D46" s="466"/>
      <c r="E46" s="466"/>
      <c r="F46" s="466"/>
      <c r="G46" s="466"/>
      <c r="H46" s="466"/>
      <c r="I46" s="467"/>
      <c r="J46" s="467"/>
      <c r="K46" s="1672">
        <f>SUM(C46:J46)</f>
        <v>0</v>
      </c>
      <c r="L46" s="466">
        <v>4400</v>
      </c>
    </row>
    <row r="47" spans="1:14" ht="12.75" customHeight="1" thickBot="1" x14ac:dyDescent="0.25">
      <c r="A47" s="1668" t="s">
        <v>561</v>
      </c>
      <c r="B47" s="1669" t="s">
        <v>32</v>
      </c>
      <c r="C47" s="1670">
        <f>SUM(C44:C46)</f>
        <v>330</v>
      </c>
      <c r="D47" s="1670">
        <f t="shared" ref="D47:K47" si="4">SUM(D44:D46)</f>
        <v>0</v>
      </c>
      <c r="E47" s="1670">
        <f t="shared" si="4"/>
        <v>0</v>
      </c>
      <c r="F47" s="1670">
        <f t="shared" si="4"/>
        <v>0</v>
      </c>
      <c r="G47" s="1670">
        <f t="shared" si="4"/>
        <v>0</v>
      </c>
      <c r="H47" s="1670">
        <f t="shared" si="4"/>
        <v>0</v>
      </c>
      <c r="I47" s="1670">
        <f t="shared" si="4"/>
        <v>608</v>
      </c>
      <c r="J47" s="1670">
        <f t="shared" si="4"/>
        <v>0</v>
      </c>
      <c r="K47" s="1670">
        <f t="shared" si="4"/>
        <v>938</v>
      </c>
      <c r="L47" s="1670">
        <f>SUM(L44:L46)</f>
        <v>8400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0</v>
      </c>
      <c r="D53" s="1670">
        <f t="shared" ref="D53:L53" si="5">SUM(D49:D52)</f>
        <v>0</v>
      </c>
      <c r="E53" s="1670">
        <f t="shared" si="5"/>
        <v>0</v>
      </c>
      <c r="F53" s="1670">
        <f t="shared" si="5"/>
        <v>0</v>
      </c>
      <c r="G53" s="1670">
        <f t="shared" si="5"/>
        <v>0</v>
      </c>
      <c r="H53" s="1670">
        <f t="shared" si="5"/>
        <v>0</v>
      </c>
      <c r="I53" s="1670">
        <f t="shared" si="5"/>
        <v>0</v>
      </c>
      <c r="J53" s="1670">
        <f t="shared" si="5"/>
        <v>0</v>
      </c>
      <c r="K53" s="1670">
        <f t="shared" si="5"/>
        <v>0</v>
      </c>
      <c r="L53" s="1670">
        <f t="shared" si="5"/>
        <v>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183402+36000</f>
        <v>219402</v>
      </c>
      <c r="D55" s="481"/>
      <c r="E55" s="481">
        <f>280+185+625</f>
        <v>1090</v>
      </c>
      <c r="F55" s="481">
        <f>5275+845+742</f>
        <v>6862</v>
      </c>
      <c r="G55" s="481"/>
      <c r="H55" s="481">
        <f>485</f>
        <v>485</v>
      </c>
      <c r="I55" s="467"/>
      <c r="J55" s="467"/>
      <c r="K55" s="1672">
        <f>SUM(C55:J55)</f>
        <v>227839</v>
      </c>
      <c r="L55" s="481">
        <v>230402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219402</v>
      </c>
      <c r="D57" s="1674">
        <f t="shared" ref="D57:K57" si="6">SUM(D55:D56)</f>
        <v>0</v>
      </c>
      <c r="E57" s="1674">
        <f t="shared" si="6"/>
        <v>1090</v>
      </c>
      <c r="F57" s="1674">
        <f t="shared" si="6"/>
        <v>6862</v>
      </c>
      <c r="G57" s="1674">
        <f t="shared" si="6"/>
        <v>0</v>
      </c>
      <c r="H57" s="1674">
        <f t="shared" si="6"/>
        <v>485</v>
      </c>
      <c r="I57" s="1674">
        <f t="shared" si="6"/>
        <v>0</v>
      </c>
      <c r="J57" s="1674">
        <f t="shared" si="6"/>
        <v>0</v>
      </c>
      <c r="K57" s="1674">
        <f t="shared" si="6"/>
        <v>227839</v>
      </c>
      <c r="L57" s="1670">
        <f>SUM(L55:L56)</f>
        <v>230402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f>5250</f>
        <v>5250</v>
      </c>
      <c r="F60" s="466"/>
      <c r="G60" s="466"/>
      <c r="H60" s="466">
        <f>729</f>
        <v>729</v>
      </c>
      <c r="I60" s="467"/>
      <c r="J60" s="467"/>
      <c r="K60" s="1672">
        <f t="shared" si="7"/>
        <v>5979</v>
      </c>
      <c r="L60" s="466">
        <v>6250</v>
      </c>
      <c r="M60" s="609"/>
      <c r="N60" s="609"/>
    </row>
    <row r="61" spans="1:14" s="343" customFormat="1" x14ac:dyDescent="0.2">
      <c r="A61" s="1504" t="s">
        <v>197</v>
      </c>
      <c r="B61" s="614">
        <v>2540</v>
      </c>
      <c r="C61" s="466">
        <f>16161</f>
        <v>16161</v>
      </c>
      <c r="D61" s="466"/>
      <c r="E61" s="466">
        <f>1339+59571+2311+4414</f>
        <v>67635</v>
      </c>
      <c r="F61" s="466">
        <f>481+7299+29449</f>
        <v>37229</v>
      </c>
      <c r="G61" s="466"/>
      <c r="H61" s="466"/>
      <c r="I61" s="467"/>
      <c r="J61" s="467"/>
      <c r="K61" s="1672">
        <f t="shared" si="7"/>
        <v>121025</v>
      </c>
      <c r="L61" s="466">
        <v>148450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16161</v>
      </c>
      <c r="D65" s="1670">
        <f t="shared" ref="D65:L65" si="8">SUM(D59:D64)</f>
        <v>0</v>
      </c>
      <c r="E65" s="1670">
        <f t="shared" si="8"/>
        <v>72885</v>
      </c>
      <c r="F65" s="1670">
        <f t="shared" si="8"/>
        <v>37229</v>
      </c>
      <c r="G65" s="1670">
        <f t="shared" si="8"/>
        <v>0</v>
      </c>
      <c r="H65" s="1670">
        <f t="shared" si="8"/>
        <v>729</v>
      </c>
      <c r="I65" s="1670">
        <f t="shared" si="8"/>
        <v>0</v>
      </c>
      <c r="J65" s="1670">
        <f t="shared" si="8"/>
        <v>0</v>
      </c>
      <c r="K65" s="1670">
        <f t="shared" si="8"/>
        <v>127004</v>
      </c>
      <c r="L65" s="1670">
        <f t="shared" si="8"/>
        <v>154700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f>1115+6648+2592+2623+806</f>
        <v>13784</v>
      </c>
      <c r="F73" s="573"/>
      <c r="G73" s="573"/>
      <c r="H73" s="573"/>
      <c r="I73" s="531"/>
      <c r="J73" s="531"/>
      <c r="K73" s="1670">
        <f>SUM(C73:J73)</f>
        <v>13784</v>
      </c>
      <c r="L73" s="576">
        <v>14791</v>
      </c>
      <c r="M73" s="609"/>
      <c r="N73" s="609"/>
    </row>
    <row r="74" spans="1:14" ht="12.75" customHeight="1" thickTop="1" thickBot="1" x14ac:dyDescent="0.25">
      <c r="A74" s="1668" t="s">
        <v>811</v>
      </c>
      <c r="B74" s="1676">
        <v>2000</v>
      </c>
      <c r="C74" s="1677">
        <f>SUM(C42,C47,C53,C57,C65,C72,C73)</f>
        <v>276923</v>
      </c>
      <c r="D74" s="1677">
        <f t="shared" ref="D74:K74" si="10">SUM(D42,D47,D53,D57,D65,D72,D73)</f>
        <v>0</v>
      </c>
      <c r="E74" s="1677">
        <f t="shared" si="10"/>
        <v>94117</v>
      </c>
      <c r="F74" s="1677">
        <f t="shared" si="10"/>
        <v>45516</v>
      </c>
      <c r="G74" s="1677">
        <f t="shared" si="10"/>
        <v>0</v>
      </c>
      <c r="H74" s="1677">
        <f t="shared" si="10"/>
        <v>1214</v>
      </c>
      <c r="I74" s="1677">
        <f t="shared" si="10"/>
        <v>608</v>
      </c>
      <c r="J74" s="1677">
        <f t="shared" si="10"/>
        <v>0</v>
      </c>
      <c r="K74" s="1677">
        <f t="shared" si="10"/>
        <v>418378</v>
      </c>
      <c r="L74" s="1677">
        <f>SUM(L42,L47,L53,L57,L65,L72,L73)</f>
        <v>455943</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f>12887+19998+238+3231+17672</f>
        <v>54026</v>
      </c>
      <c r="F83" s="616"/>
      <c r="G83" s="616"/>
      <c r="H83" s="466"/>
      <c r="I83" s="477"/>
      <c r="J83" s="477"/>
      <c r="K83" s="1671">
        <f t="shared" si="11"/>
        <v>54026</v>
      </c>
      <c r="L83" s="466">
        <v>54041</v>
      </c>
    </row>
    <row r="84" spans="1:12" ht="13.5" thickBot="1" x14ac:dyDescent="0.25">
      <c r="A84" s="1668" t="s">
        <v>1485</v>
      </c>
      <c r="B84" s="1678">
        <v>4100</v>
      </c>
      <c r="C84" s="616"/>
      <c r="D84" s="616"/>
      <c r="E84" s="1670">
        <f>SUM(E78:E83)</f>
        <v>54026</v>
      </c>
      <c r="F84" s="616"/>
      <c r="G84" s="616"/>
      <c r="H84" s="1670">
        <f>SUM(H78:H83)</f>
        <v>0</v>
      </c>
      <c r="I84" s="477"/>
      <c r="J84" s="477"/>
      <c r="K84" s="1670">
        <f>SUM(K78:K83)</f>
        <v>54026</v>
      </c>
      <c r="L84" s="1670">
        <f>SUM(L78:L83)</f>
        <v>54041</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54026</v>
      </c>
      <c r="F102" s="616"/>
      <c r="G102" s="616"/>
      <c r="H102" s="1677">
        <f>SUM(H84,H92,H100,H101)</f>
        <v>0</v>
      </c>
      <c r="I102" s="477"/>
      <c r="J102" s="477"/>
      <c r="K102" s="1677">
        <f>SUM(K84,K92,K100,K101)</f>
        <v>54026</v>
      </c>
      <c r="L102" s="1677">
        <f>SUM(L84,L92,L100,L101)</f>
        <v>54041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1303871</v>
      </c>
      <c r="D114" s="1670">
        <f t="shared" ref="D114:K114" si="13">SUM(D33,D74,D75,D102,D112,D113)</f>
        <v>326803</v>
      </c>
      <c r="E114" s="1670">
        <f t="shared" si="13"/>
        <v>237780</v>
      </c>
      <c r="F114" s="1670">
        <f t="shared" si="13"/>
        <v>194806</v>
      </c>
      <c r="G114" s="1670">
        <f t="shared" si="13"/>
        <v>36892</v>
      </c>
      <c r="H114" s="1670">
        <f>SUM(H33,H74,H75,H102,H112,H113)</f>
        <v>90164</v>
      </c>
      <c r="I114" s="1670">
        <f t="shared" si="13"/>
        <v>8732</v>
      </c>
      <c r="J114" s="1670">
        <f t="shared" si="13"/>
        <v>0</v>
      </c>
      <c r="K114" s="1670">
        <f t="shared" si="13"/>
        <v>2199048</v>
      </c>
      <c r="L114" s="1670">
        <f>SUM(L33,L74,L75,L102,L112,L113)</f>
        <v>2241909</v>
      </c>
    </row>
    <row r="115" spans="1:14" ht="13.5" thickTop="1" x14ac:dyDescent="0.2">
      <c r="A115" s="2153" t="s">
        <v>996</v>
      </c>
      <c r="B115" s="2154"/>
      <c r="C115" s="618"/>
      <c r="D115" s="618"/>
      <c r="E115" s="618"/>
      <c r="F115" s="618"/>
      <c r="G115" s="618"/>
      <c r="H115" s="618"/>
      <c r="I115" s="618"/>
      <c r="J115" s="618"/>
      <c r="K115" s="1684">
        <f>'Revenues 9-14'!C268-'Expenditures 15-22'!K114</f>
        <v>-16324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8" t="s">
        <v>296</v>
      </c>
      <c r="B117" s="2159"/>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0"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3" t="s">
        <v>1178</v>
      </c>
      <c r="B152" s="2174"/>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8" t="s">
        <v>621</v>
      </c>
      <c r="B154" s="2160"/>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53" t="s">
        <v>996</v>
      </c>
      <c r="B175" s="2154"/>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53" t="s">
        <v>996</v>
      </c>
      <c r="B211" s="2154"/>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5" t="s">
        <v>965</v>
      </c>
      <c r="B213" s="2176"/>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1" t="s">
        <v>505</v>
      </c>
      <c r="B295" s="2172"/>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53" t="s">
        <v>996</v>
      </c>
      <c r="B296" s="2154"/>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3" t="s">
        <v>143</v>
      </c>
      <c r="B298" s="2157"/>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8" t="s">
        <v>277</v>
      </c>
      <c r="B312" s="2169"/>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4" t="s">
        <v>996</v>
      </c>
      <c r="B313" s="2165"/>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7" t="s">
        <v>149</v>
      </c>
      <c r="B315" s="2178"/>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9" t="s">
        <v>898</v>
      </c>
      <c r="B317" s="2178"/>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6" t="s">
        <v>996</v>
      </c>
      <c r="B343" s="2167"/>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6" t="s">
        <v>966</v>
      </c>
      <c r="B345" s="2157"/>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3" t="s">
        <v>996</v>
      </c>
      <c r="B368" s="2154"/>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6ce3111e-7420-4802-b50a-75d4e9a0b980"/>
    <ds:schemaRef ds:uri="http://schemas.microsoft.com/office/2006/documentManagement/types"/>
    <ds:schemaRef ds:uri="http://schemas.microsoft.com/sharepoint/v3"/>
    <ds:schemaRef ds:uri="http://purl.org/dc/terms/"/>
    <ds:schemaRef ds:uri="http://schemas.openxmlformats.org/package/2006/metadata/core-properties"/>
    <ds:schemaRef ds:uri="http://schemas.microsoft.com/office/infopath/2007/PartnerControls"/>
    <ds:schemaRef ds:uri="d21dc803-237d-4c68-8692-8d731fd29118"/>
    <ds:schemaRef ds:uri="http://purl.org/dc/elements/1.1/"/>
    <ds:schemaRef ds:uri="4d435f69-8686-490b-bd6d-b153bf22ab5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2020-01-06T19:26:43Z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RFF</vt:lpwstr>
  </property>
  <property fmtid="{D5CDD505-2E9C-101B-9397-08002B2CF9AE}" pid="6" name="workpaperIndex">
    <vt:lpwstr>RFF 03</vt:lpwstr>
  </property>
</Properties>
</file>