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F634B017-A69D-46D2-9CA7-0EA259AE28F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7" i="3" l="1"/>
  <c r="L342" i="2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F17"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B1308" i="106" l="1"/>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<sst xmlns="http://schemas.openxmlformats.org/spreadsheetml/2006/main" count="5051" uniqueCount="2086">
  <si>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</si>
  <si>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</si>
  <si>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</si>
  <si>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</si>
  <si>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</si>
  <si>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</si>
  <si>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</si>
  <si>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</si>
  <si>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</si>
  <si>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</si>
  <si>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</si>
  <si>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</si>
  <si>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</si>
  <si>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</si>
  <si>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</si>
  <si>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</si>
  <si>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</si>
  <si>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</si>
  <si>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</si>
  <si>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</si>
  <si>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</si>
  <si>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</si>
  <si>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</si>
  <si>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</si>
  <si>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</si>
  <si>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</si>
  <si>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</si>
  <si>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</si>
  <si>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</si>
  <si>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</si>
  <si>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</si>
  <si>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</si>
  <si>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</si>
  <si>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</si>
  <si>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</si>
  <si>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</si>
  <si>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</si>
  <si>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</si>
  <si>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</si>
  <si>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</si>
  <si>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</si>
  <si>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</si>
  <si>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</si>
  <si>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</si>
  <si>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</si>
  <si>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</si>
  <si>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</si>
  <si>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</si>
  <si>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</si>
  <si>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</si>
  <si>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</si>
  <si>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</si>
  <si>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</si>
  <si>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</si>
  <si>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</si>
  <si>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</si>
  <si>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</si>
  <si>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</si>
  <si>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</si>
  <si>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</si>
  <si>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</si>
  <si>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</si>
  <si>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</si>
  <si>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</si>
  <si>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</si>
  <si>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</si>
  <si>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</si>
  <si>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</si>
  <si>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</si>
  <si>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</si>
  <si>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</si>
  <si>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</si>
  <si>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</si>
  <si>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</si>
  <si>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</si>
  <si>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</si>
  <si>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</si>
  <si>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</si>
  <si>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</si>
  <si>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</si>
  <si>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</si>
  <si>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</si>
  <si>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</si>
  <si>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</si>
  <si>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</si>
  <si>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</si>
  <si>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</si>
  <si>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</si>
  <si>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</si>
  <si>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</si>
  <si>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</si>
  <si>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</si>
  <si>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</si>
  <si>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</si>
  <si>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</si>
  <si>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</si>
  <si>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</si>
  <si>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</si>
  <si>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</si>
  <si>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</si>
  <si>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</si>
  <si>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</si>
  <si>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</si>
  <si>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</si>
  <si>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</si>
  <si>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</si>
  <si>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</si>
  <si>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</si>
  <si>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</si>
  <si>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</si>
  <si>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</si>
  <si>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</si>
  <si>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</si>
  <si>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</si>
  <si>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</si>
  <si>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</si>
  <si>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</si>
  <si>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</si>
  <si>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</si>
  <si>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</si>
  <si>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</si>
  <si>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</si>
  <si>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</si>
  <si>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</si>
  <si>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</si>
  <si>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</si>
  <si>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</si>
  <si>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</si>
  <si>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</si>
  <si>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</si>
  <si>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</si>
  <si>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</si>
  <si>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</si>
  <si>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</si>
  <si>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</si>
  <si>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</si>
  <si>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</si>
  <si>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</si>
  <si>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</si>
  <si>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</si>
  <si>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</si>
  <si>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</si>
  <si>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</si>
  <si>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</si>
  <si>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</si>
  <si>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</si>
  <si>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</si>
  <si>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</si>
  <si>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</si>
  <si>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</si>
  <si>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</si>
  <si>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</si>
  <si>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</si>
  <si>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</si>
  <si>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</si>
  <si>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</si>
  <si>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</si>
  <si>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</si>
  <si>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</si>
  <si>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</si>
  <si>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</si>
  <si>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</si>
  <si>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</si>
  <si>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</si>
  <si>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</si>
  <si>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</si>
  <si>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</si>
  <si>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</si>
  <si>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</si>
  <si>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</si>
  <si>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</si>
  <si>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</si>
  <si>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</si>
  <si>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</si>
  <si>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</si>
  <si>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</si>
  <si>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</si>
  <si>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</si>
  <si>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</si>
  <si>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</si>
  <si>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</si>
  <si>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</si>
  <si>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</si>
  <si>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</si>
  <si>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</si>
  <si>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</si>
  <si>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</si>
  <si>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</si>
  <si>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</si>
  <si>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</si>
  <si>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</si>
  <si>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</si>
  <si>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</si>
  <si>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</si>
  <si>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</si>
  <si>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</si>
  <si>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</si>
  <si>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</si>
  <si>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</si>
  <si>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</si>
  <si>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</si>
  <si>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</si>
  <si>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</si>
  <si>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</si>
  <si>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</si>
  <si>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</si>
  <si>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</si>
  <si>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</si>
  <si>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</si>
  <si>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</si>
  <si>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</si>
  <si>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</si>
  <si>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</si>
  <si>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</si>
  <si>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</si>
  <si>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</si>
  <si>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</si>
  <si>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</si>
  <si>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</si>
  <si>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</si>
  <si>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</si>
  <si>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</si>
  <si>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</si>
  <si>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</si>
  <si>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</si>
  <si>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</si>
  <si>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</si>
  <si>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</si>
  <si>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</si>
  <si>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</si>
  <si>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</si>
  <si>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</si>
  <si>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</si>
  <si>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</si>
  <si>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</si>
  <si>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</si>
  <si>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</si>
  <si>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</si>
  <si>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</si>
  <si>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</si>
  <si>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</si>
  <si>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</si>
  <si>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</si>
  <si>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</si>
  <si>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</si>
  <si>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</si>
  <si>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</si>
  <si>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</si>
  <si>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</si>
  <si>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</si>
  <si>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</si>
  <si>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</si>
  <si>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</si>
  <si>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</si>
  <si>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</si>
  <si>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</si>
  <si>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</si>
  <si>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</si>
  <si>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</si>
  <si>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</si>
  <si>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</si>
  <si>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</si>
  <si>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</si>
  <si>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</si>
  <si>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</si>
  <si>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</si>
  <si>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</si>
  <si>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</si>
  <si>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</si>
  <si>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</si>
  <si>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</si>
  <si>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</si>
  <si>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</si>
  <si>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</si>
  <si>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</si>
  <si>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</si>
  <si>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</si>
  <si>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</si>
  <si>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</si>
  <si>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</si>
  <si>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</si>
  <si>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</si>
  <si>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</si>
  <si>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</si>
  <si>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</si>
  <si>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</si>
  <si>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</si>
  <si>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</si>
  <si>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</si>
  <si>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</si>
  <si>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</si>
  <si>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</si>
  <si>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</si>
  <si>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</si>
  <si>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</si>
  <si>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</si>
  <si>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</si>
  <si>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</si>
  <si>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</si>
  <si>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</si>
  <si>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</si>
  <si>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</si>
  <si>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</si>
  <si>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</si>
  <si>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</si>
  <si>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</si>
  <si>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</si>
  <si>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</si>
  <si>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</si>
  <si>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</si>
  <si>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</si>
  <si>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</si>
  <si>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</si>
  <si>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</si>
  <si>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</si>
  <si>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</si>
  <si>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</si>
  <si>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</si>
  <si>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</si>
  <si>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</si>
  <si>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</si>
  <si>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</si>
  <si>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</si>
  <si>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</si>
  <si>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</si>
  <si>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</si>
  <si>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</si>
  <si>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</si>
  <si>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</si>
  <si>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</si>
  <si>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</si>
  <si>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</si>
  <si>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</si>
  <si>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</si>
  <si>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</si>
  <si>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</si>
  <si>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</si>
  <si>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</si>
  <si>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</si>
  <si>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</si>
  <si>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</si>
  <si>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</si>
  <si>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</si>
  <si>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</si>
  <si>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</si>
  <si>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</si>
  <si>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</si>
  <si>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</si>
  <si>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</si>
  <si>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</si>
  <si>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</si>
  <si>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</si>
  <si>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</si>
  <si>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</si>
  <si>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</si>
  <si>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</si>
  <si>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</si>
  <si>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</si>
  <si>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</si>
  <si>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</si>
  <si>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</si>
  <si>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</si>
  <si>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</si>
  <si>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</si>
  <si>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</si>
  <si>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</si>
  <si>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</si>
  <si>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</si>
  <si>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</si>
  <si>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</si>
  <si>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</si>
  <si>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</si>
  <si>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</si>
  <si>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</si>
  <si>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</si>
  <si>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</si>
  <si>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</si>
  <si>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</si>
  <si>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</si>
  <si>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</si>
  <si>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</si>
  <si>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</si>
  <si>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</si>
  <si>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</si>
  <si>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</si>
  <si>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</si>
  <si>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</si>
  <si>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</si>
  <si>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</si>
  <si>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</si>
  <si>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</si>
  <si>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</si>
  <si>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</si>
  <si>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</si>
  <si>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</si>
  <si>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</si>
  <si>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</si>
  <si>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</si>
  <si>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</si>
  <si>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</si>
  <si>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</si>
  <si>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</si>
  <si>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</si>
  <si>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</si>
  <si>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</si>
  <si>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</si>
  <si>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</si>
  <si>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</si>
  <si>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</si>
  <si>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</si>
  <si>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</si>
  <si>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</si>
  <si>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</si>
  <si>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</si>
  <si>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</si>
  <si>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</si>
  <si>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</si>
  <si>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</si>
  <si>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</si>
  <si>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</si>
  <si>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</si>
  <si>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</si>
  <si>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</si>
  <si>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</si>
  <si>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</si>
  <si>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</si>
  <si>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</si>
  <si>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</si>
  <si>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</si>
  <si>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</si>
  <si>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</si>
  <si>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</si>
  <si>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</si>
  <si>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</si>
  <si>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</si>
  <si>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</si>
  <si>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</si>
  <si>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</si>
  <si>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</si>
  <si>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</si>
  <si>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</si>
  <si>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</si>
  <si>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</si>
  <si>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</si>
  <si>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</si>
  <si>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</si>
  <si>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</si>
  <si>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</si>
  <si>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</si>
  <si>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</si>
  <si>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</si>
  <si>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</si>
  <si>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</si>
  <si>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</si>
  <si>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</si>
  <si>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</si>
  <si>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</si>
  <si>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</si>
  <si>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</si>
  <si>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</si>
  <si>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</si>
  <si>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</si>
  <si>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</si>
  <si>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</si>
  <si>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</si>
  <si>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</si>
  <si>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</si>
  <si>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</si>
  <si>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</si>
  <si>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</si>
  <si>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</si>
  <si>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</si>
  <si>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</si>
  <si>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</si>
  <si>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</si>
  <si>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</si>
  <si>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</si>
  <si>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</si>
  <si>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</si>
  <si>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</si>
  <si>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</si>
  <si>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</si>
  <si>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</si>
  <si>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</si>
  <si>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</si>
  <si>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</si>
  <si>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</si>
  <si>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</si>
  <si>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</si>
  <si>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</si>
  <si>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</si>
  <si>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</si>
  <si>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</si>
  <si>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</si>
  <si>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</si>
  <si>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</si>
  <si>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</si>
  <si>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</si>
  <si>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</si>
  <si>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</si>
  <si>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</si>
  <si>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</si>
  <si>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</si>
  <si>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</si>
  <si>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</si>
  <si>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</si>
  <si>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</si>
  <si>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</si>
  <si>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</si>
  <si>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</si>
  <si>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</si>
  <si>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</si>
  <si>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</si>
  <si>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</si>
  <si>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</si>
  <si>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</si>
  <si>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</si>
  <si>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</si>
  <si>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</si>
  <si>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</si>
  <si>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</si>
  <si>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</si>
  <si>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</si>
  <si>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</si>
  <si>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</si>
  <si>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</si>
  <si>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</si>
  <si>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</si>
  <si>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</si>
  <si>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</si>
  <si>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</si>
  <si>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</si>
  <si>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</si>
  <si>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</si>
  <si>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</si>
  <si>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</si>
  <si>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</si>
  <si>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</si>
  <si>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</si>
  <si>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</si>
  <si>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</si>
  <si>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</si>
  <si>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</si>
  <si>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</si>
  <si>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</si>
  <si>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</si>
  <si>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</si>
  <si>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</si>
  <si>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</si>
  <si>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</si>
  <si>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</si>
  <si>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</si>
  <si>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</si>
  <si>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</si>
  <si>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</si>
  <si>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</si>
  <si>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</si>
  <si>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</si>
  <si>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</si>
  <si>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</si>
  <si>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</si>
  <si>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</si>
  <si>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</si>
  <si>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</si>
  <si>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</si>
  <si>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</si>
  <si>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</si>
  <si>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</si>
  <si>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</si>
  <si>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</si>
  <si>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</si>
  <si>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</si>
  <si>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</si>
  <si>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</si>
  <si>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</si>
  <si>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</si>
  <si>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</si>
  <si>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</si>
  <si>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</si>
  <si>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</si>
  <si>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</si>
  <si>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</si>
  <si>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</si>
  <si>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</si>
  <si>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</si>
  <si>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</si>
  <si>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</si>
  <si>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</si>
  <si>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</si>
  <si>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</si>
  <si>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</si>
  <si>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</si>
  <si>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</si>
  <si>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</si>
  <si>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</si>
  <si>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</si>
  <si>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</si>
  <si>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</si>
  <si>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</si>
  <si>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</si>
  <si>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</si>
  <si>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</si>
  <si>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</si>
  <si>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</si>
  <si>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</si>
  <si>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</si>
  <si>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</si>
  <si>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</si>
  <si>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</si>
  <si>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</si>
  <si>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</si>
  <si>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</si>
  <si>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</si>
  <si>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</si>
  <si>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</si>
  <si>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</si>
  <si>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</si>
  <si>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</si>
  <si>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</si>
  <si>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</si>
  <si>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</si>
  <si>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</si>
  <si>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</si>
  <si>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</si>
  <si>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</si>
  <si>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</si>
  <si>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</si>
  <si>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</si>
  <si>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</si>
  <si>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</si>
  <si>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</si>
  <si>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</si>
  <si>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</si>
  <si>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</si>
  <si>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</si>
  <si>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</si>
  <si>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</si>
  <si>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</si>
  <si>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</si>
  <si>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</si>
  <si>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</si>
  <si>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</si>
  <si>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</si>
  <si>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</si>
  <si>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</si>
  <si>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</si>
  <si>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</si>
  <si>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</si>
  <si>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</si>
  <si>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</si>
  <si>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</si>
  <si>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</si>
  <si>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</si>
  <si>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</si>
  <si>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</si>
  <si>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</si>
  <si>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</si>
  <si>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</si>
  <si>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</si>
  <si>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</si>
  <si>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</si>
  <si>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</si>
  <si>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</si>
  <si>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</si>
  <si>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</si>
  <si>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</si>
  <si>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</si>
  <si>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</si>
  <si>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</si>
  <si>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</si>
  <si>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</si>
  <si>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</si>
  <si>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</si>
  <si>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</si>
  <si>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</si>
  <si>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</si>
  <si>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</si>
  <si>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</si>
  <si>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</si>
  <si>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</si>
  <si>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</si>
  <si>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</si>
  <si>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</si>
  <si>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</si>
  <si>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</si>
  <si>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</si>
  <si>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</si>
  <si>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</si>
  <si>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</si>
  <si>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</si>
  <si>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</si>
  <si>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</si>
  <si>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</si>
  <si>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</si>
  <si>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</si>
  <si>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</si>
  <si>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</si>
  <si>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</si>
  <si>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</si>
  <si>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</si>
  <si>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</si>
  <si>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</si>
  <si>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</si>
  <si>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</si>
  <si>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</si>
  <si>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</si>
  <si>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</si>
  <si>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</si>
  <si>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</si>
  <si>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</si>
  <si>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</si>
  <si>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</si>
  <si>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</si>
  <si>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</si>
  <si>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</si>
  <si>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</si>
  <si>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</si>
  <si>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</si>
  <si>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</si>
  <si>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</si>
  <si>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</si>
  <si>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</si>
  <si>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</si>
  <si>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</si>
  <si>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</si>
  <si>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</si>
  <si>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</si>
  <si>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</si>
  <si>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</si>
  <si>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</si>
  <si>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</si>
  <si>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</si>
  <si>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</si>
  <si>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</si>
  <si>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</si>
  <si>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</si>
  <si>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</si>
  <si>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</si>
  <si>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</si>
  <si>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</si>
  <si>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</si>
  <si>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</si>
  <si>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</si>
  <si>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</si>
  <si>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</si>
  <si>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</si>
  <si>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</si>
  <si>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</si>
  <si>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</si>
  <si>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</si>
  <si>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</si>
  <si>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</si>
  <si>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</si>
  <si>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</si>
  <si>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</si>
  <si>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</si>
  <si>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</si>
  <si>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</si>
  <si>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</si>
  <si>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</si>
  <si>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</si>
  <si>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</si>
  <si>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</si>
  <si>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</si>
  <si>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</si>
  <si>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</si>
  <si>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</si>
  <si>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</si>
  <si>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</si>
  <si>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</si>
  <si>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</si>
  <si>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</si>
  <si>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</si>
  <si>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</si>
  <si>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</si>
  <si>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</si>
  <si>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</si>
  <si>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</si>
  <si>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</si>
  <si>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</si>
  <si>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</si>
  <si>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</si>
  <si>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</si>
  <si>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</si>
  <si>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</si>
  <si>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</si>
  <si>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</si>
  <si>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</si>
  <si>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</si>
  <si>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</si>
  <si>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</si>
  <si>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</si>
  <si>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</si>
  <si>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</si>
  <si>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</si>
  <si>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</si>
  <si>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</si>
  <si>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</si>
  <si>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</si>
  <si>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</si>
  <si>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</si>
  <si>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</si>
  <si>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</si>
  <si>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</si>
  <si>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</si>
  <si>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</si>
  <si>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</si>
  <si>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</si>
  <si>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</si>
  <si>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</si>
  <si>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</si>
  <si>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</si>
  <si>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</si>
  <si>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</si>
  <si>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</si>
  <si>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</si>
  <si>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</si>
  <si>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</si>
  <si>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</si>
  <si>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</si>
  <si>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</si>
  <si>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</si>
  <si>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</si>
  <si>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</si>
  <si>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</si>
  <si>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</si>
  <si>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</si>
  <si>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</si>
  <si>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</si>
  <si>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</si>
  <si>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</si>
  <si>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</si>
  <si>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</si>
  <si>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</si>
  <si>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</si>
  <si>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</si>
  <si>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</si>
  <si>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</si>
  <si>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</si>
  <si>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</si>
  <si>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</si>
  <si>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</si>
  <si>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</si>
  <si>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</si>
  <si>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</si>
  <si>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</si>
  <si>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</si>
  <si>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</si>
  <si>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</si>
  <si>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</si>
  <si>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</si>
  <si>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</si>
  <si>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</si>
  <si>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</si>
  <si>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</si>
  <si>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</si>
  <si>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</si>
  <si>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</si>
  <si>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</si>
  <si>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</si>
  <si>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</si>
  <si>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</si>
  <si>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</si>
  <si>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</si>
  <si>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</si>
  <si>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</si>
  <si>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</si>
  <si>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</si>
  <si>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</si>
  <si>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</si>
  <si>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</si>
  <si>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</si>
  <si>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</si>
  <si>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</si>
  <si>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</si>
  <si>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</si>
  <si>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</si>
  <si>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</si>
  <si>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</si>
  <si>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</si>
  <si>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</si>
  <si>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</si>
  <si>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</si>
  <si>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</si>
  <si>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</si>
  <si>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</si>
  <si>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</si>
  <si>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</si>
  <si>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</si>
  <si>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</si>
  <si>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</si>
  <si>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</si>
  <si>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</si>
  <si>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</si>
  <si>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</si>
  <si>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</si>
  <si>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</si>
  <si>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</si>
  <si>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</si>
  <si>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</si>
  <si>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</si>
  <si>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</si>
  <si>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</si>
  <si>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</si>
  <si>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</si>
  <si>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</si>
  <si>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</si>
  <si>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</si>
  <si>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</si>
  <si>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</si>
  <si>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</si>
  <si>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</si>
  <si>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</si>
  <si>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</si>
  <si>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</si>
  <si>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</si>
  <si>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</si>
  <si>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</si>
  <si>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</si>
  <si>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</si>
  <si>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</si>
  <si>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</si>
  <si>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</si>
  <si>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</si>
  <si>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</si>
  <si>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</si>
  <si>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</si>
  <si>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</si>
  <si>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</si>
  <si>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</si>
  <si>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</si>
  <si>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</si>
  <si>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</si>
  <si>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</si>
  <si>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</si>
  <si>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</si>
  <si>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</si>
  <si>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</si>
  <si>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</si>
  <si>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</si>
  <si>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</si>
  <si>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</si>
  <si>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</si>
  <si>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</si>
  <si>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</si>
  <si>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</si>
  <si>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</si>
  <si>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</si>
  <si>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</si>
  <si>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</si>
  <si>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</si>
  <si>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</si>
  <si>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</si>
  <si>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</si>
  <si>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</si>
  <si>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</si>
  <si>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</si>
  <si>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</si>
  <si>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</si>
  <si>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</si>
  <si>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</si>
  <si>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</si>
  <si>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</si>
  <si>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</si>
  <si>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</si>
  <si>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</si>
  <si>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</si>
  <si>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</si>
  <si>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</si>
  <si>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</si>
  <si>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</si>
  <si>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</si>
  <si>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</si>
  <si>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</si>
  <si>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</si>
  <si>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</si>
  <si>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</si>
  <si>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</si>
  <si>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</si>
  <si>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</si>
  <si>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</si>
  <si>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</si>
  <si>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</si>
  <si>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</si>
  <si>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</si>
  <si>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</si>
  <si>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</si>
  <si>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</si>
  <si>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</si>
  <si>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</si>
  <si>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</si>
  <si>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</si>
  <si>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</si>
  <si>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</si>
  <si>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</si>
  <si>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</si>
  <si>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</si>
  <si>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</si>
  <si>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</si>
  <si>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</si>
  <si>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</si>
  <si>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</si>
  <si>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</si>
  <si>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</si>
  <si>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</si>
  <si>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</si>
  <si>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</si>
  <si>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</si>
  <si>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</si>
  <si>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</si>
  <si>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</si>
  <si>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</si>
  <si>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</si>
  <si>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</si>
  <si>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</si>
  <si>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</si>
  <si>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</si>
  <si>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</si>
  <si>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</si>
  <si>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</si>
  <si>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</si>
  <si>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</si>
  <si>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</si>
  <si>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</si>
  <si>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</si>
  <si>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</si>
  <si>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</si>
  <si>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</si>
  <si>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</si>
  <si>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</si>
  <si>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</si>
  <si>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</si>
  <si>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</si>
  <si>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</si>
  <si>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</si>
  <si>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</si>
  <si>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</si>
  <si>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</si>
  <si>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</si>
  <si>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</si>
  <si>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</si>
  <si>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</si>
  <si>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</si>
  <si>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</si>
  <si>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</si>
  <si>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</si>
  <si>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</si>
  <si>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</si>
  <si>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</si>
  <si>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</si>
  <si>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</si>
  <si>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</si>
  <si>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</si>
  <si>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</si>
  <si>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</si>
  <si>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</si>
  <si>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</si>
  <si>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</si>
  <si>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</si>
  <si>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</si>
  <si>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</si>
  <si>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</si>
  <si>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</si>
  <si>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</si>
  <si>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</si>
  <si>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</si>
  <si>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</si>
  <si>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</si>
  <si>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</si>
  <si>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</si>
  <si>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</si>
  <si>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</si>
  <si>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</si>
  <si>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</si>
  <si>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</si>
  <si>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</si>
  <si>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</si>
  <si>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</si>
  <si>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</si>
  <si>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</si>
  <si>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</si>
  <si>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</si>
  <si>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</si>
  <si>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</si>
  <si>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</si>
  <si>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</si>
  <si>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</si>
  <si>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</si>
  <si>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</si>
  <si>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</si>
  <si>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</si>
  <si>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</si>
  <si>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</si>
  <si>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</si>
  <si>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</si>
  <si>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</si>
  <si>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</si>
  <si>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</si>
  <si>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</si>
  <si>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</si>
  <si>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</si>
  <si>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</si>
  <si>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</si>
  <si>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</si>
  <si>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</si>
  <si>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</si>
  <si>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</si>
  <si>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</si>
  <si>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</si>
  <si>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</si>
  <si>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</si>
  <si>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</si>
  <si>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</si>
  <si>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</si>
  <si>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</si>
  <si>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</si>
  <si>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</si>
  <si>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</si>
  <si>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</si>
  <si>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</si>
  <si>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</si>
  <si>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</si>
  <si>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</si>
  <si>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</si>
  <si>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</si>
  <si>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</si>
  <si>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</si>
  <si>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</si>
  <si>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</si>
  <si>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</si>
  <si>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</si>
  <si>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</si>
  <si>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</si>
  <si>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</si>
  <si>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</si>
  <si>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</si>
  <si>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</si>
  <si>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</si>
  <si>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</si>
  <si>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</si>
  <si>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</si>
  <si>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</si>
  <si>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</si>
  <si>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</si>
  <si>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</si>
  <si>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</si>
  <si>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</si>
  <si>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</si>
  <si>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</si>
  <si>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</si>
  <si>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</si>
  <si>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</si>
  <si>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</si>
  <si>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</si>
  <si>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</si>
  <si>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</si>
  <si>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</si>
  <si>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</si>
  <si>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</si>
  <si>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</si>
  <si>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</si>
  <si>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</si>
  <si>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</si>
  <si>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</si>
  <si>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</si>
  <si>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</si>
  <si>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</si>
  <si>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</si>
  <si>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</si>
  <si>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</si>
  <si>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</si>
  <si>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</si>
  <si>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</si>
  <si>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</si>
  <si>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</si>
  <si>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</si>
  <si>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</si>
  <si>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</si>
  <si>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</si>
  <si>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</si>
  <si>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</si>
  <si>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</si>
  <si>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</si>
  <si>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</si>
  <si>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</si>
  <si>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</si>
  <si>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</si>
  <si>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</si>
  <si>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</si>
  <si>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</si>
  <si>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</si>
  <si>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</si>
  <si>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</si>
  <si>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</si>
  <si>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</si>
  <si>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</si>
  <si>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</si>
  <si>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</si>
  <si>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</si>
  <si>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</si>
  <si>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</si>
  <si>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</si>
  <si>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</si>
  <si>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</si>
  <si>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</si>
  <si>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</si>
  <si>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</si>
  <si>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</si>
  <si>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</si>
  <si>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</si>
  <si>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</si>
  <si>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</si>
  <si>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</si>
  <si>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</si>
  <si>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</si>
  <si>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</si>
  <si>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</si>
  <si>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</si>
  <si>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</si>
  <si>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</si>
  <si>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</si>
  <si>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</si>
  <si>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</si>
  <si>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</si>
  <si>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</si>
  <si>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</si>
  <si>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</si>
  <si>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</si>
  <si>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</si>
  <si>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</si>
  <si>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</si>
  <si>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</si>
  <si>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</si>
  <si>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</si>
  <si>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</si>
  <si>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</si>
  <si>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</si>
  <si>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</si>
  <si>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</si>
  <si>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</si>
  <si>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</si>
  <si>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</si>
  <si>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</si>
  <si>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</si>
  <si>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</si>
  <si>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</si>
  <si>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</si>
  <si>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</si>
  <si>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</si>
  <si>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</si>
  <si>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</si>
  <si>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</si>
  <si>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</si>
  <si>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</si>
  <si>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</si>
  <si>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</si>
  <si>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</si>
  <si>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</si>
  <si>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</si>
  <si>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</si>
  <si>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</si>
  <si>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</si>
  <si>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</si>
  <si>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</si>
  <si>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</si>
  <si>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</si>
  <si>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</si>
  <si>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</si>
  <si>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</si>
  <si>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</si>
  <si>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</si>
  <si>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</si>
  <si>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</si>
  <si>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</si>
  <si>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</si>
  <si>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</si>
  <si>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</si>
  <si>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</si>
  <si>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</si>
  <si>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</si>
  <si>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</si>
  <si>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</si>
  <si>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</si>
  <si>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</si>
  <si>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</si>
  <si>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</si>
  <si>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</si>
  <si>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</si>
  <si>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</si>
  <si>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</si>
  <si>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</si>
  <si>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</si>
  <si>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</si>
  <si>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</si>
  <si>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</si>
  <si>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</si>
  <si>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</si>
  <si>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</si>
  <si>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</si>
  <si>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</si>
  <si>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</si>
  <si>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</si>
  <si>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</si>
  <si>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</si>
  <si>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</si>
  <si>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</si>
  <si>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</si>
  <si>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</si>
  <si>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</si>
  <si>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</si>
  <si>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</si>
  <si>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</si>
  <si>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</si>
  <si>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</si>
  <si>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</si>
  <si>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</si>
  <si>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</si>
  <si>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</si>
  <si>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</si>
  <si>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</si>
  <si>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</si>
  <si>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</si>
  <si>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</si>
  <si>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</si>
  <si>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</si>
  <si>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</si>
  <si>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</si>
  <si>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</si>
  <si>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</si>
  <si>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</si>
  <si>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</si>
  <si>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</si>
  <si>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</si>
  <si>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</si>
  <si>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</si>
  <si>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</si>
  <si>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</si>
  <si>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</si>
  <si>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</si>
  <si>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</si>
  <si>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</si>
  <si>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</si>
  <si>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</si>
  <si>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</si>
  <si>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</si>
  <si>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</si>
  <si>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</si>
  <si>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</si>
  <si>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</si>
  <si>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</si>
  <si>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</si>
  <si>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</si>
  <si>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</si>
  <si>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</si>
  <si>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</si>
  <si>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</si>
  <si>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</si>
  <si>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</si>
  <si>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</si>
  <si>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</si>
  <si>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</si>
  <si>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</si>
  <si>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</si>
  <si>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</si>
  <si>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</si>
  <si>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</si>
  <si>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</si>
  <si>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</si>
  <si>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</si>
  <si>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</si>
  <si>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</si>
  <si>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</si>
  <si>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</si>
  <si>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</si>
  <si>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</si>
  <si>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</si>
  <si>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</si>
  <si>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</si>
  <si>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</si>
  <si>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</si>
  <si>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</si>
  <si>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</si>
  <si>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</si>
  <si>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</si>
  <si>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</si>
  <si>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</si>
  <si>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</si>
  <si>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</si>
  <si>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</si>
  <si>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</si>
  <si>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</si>
  <si>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</si>
  <si>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</si>
  <si>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</si>
  <si>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</si>
  <si>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</si>
  <si>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</si>
  <si>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</si>
  <si>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</si>
  <si>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</si>
  <si>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</si>
  <si>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</si>
  <si>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</si>
  <si>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</si>
  <si>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</si>
  <si>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</si>
  <si>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</si>
  <si>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</si>
  <si>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</si>
  <si>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</si>
  <si>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</si>
  <si>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</si>
  <si>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</si>
  <si>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</si>
  <si>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</si>
  <si>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</si>
  <si>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</si>
  <si>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</si>
  <si>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</si>
  <si>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</si>
  <si>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</si>
  <si>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</si>
  <si>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</si>
  <si>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</si>
  <si>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</si>
  <si>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</si>
  <si>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</si>
  <si>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</si>
  <si>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</si>
  <si>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</si>
  <si>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</si>
  <si>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</si>
  <si>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</si>
  <si>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</si>
  <si>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</si>
  <si>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</si>
  <si>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</si>
  <si>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</si>
  <si>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</si>
  <si>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</si>
  <si>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</si>
  <si>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</si>
  <si>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</si>
  <si>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</si>
  <si>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</si>
  <si>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</si>
  <si>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</si>
  <si>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</si>
  <si>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</si>
  <si>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</si>
  <si>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</si>
  <si>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</si>
  <si>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</si>
  <si>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</si>
  <si>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</si>
  <si>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</si>
  <si>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</si>
  <si>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</si>
  <si>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</si>
  <si>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</si>
  <si>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</si>
  <si>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</si>
  <si>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</si>
  <si>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</si>
  <si>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</si>
  <si>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</si>
  <si>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</si>
  <si>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</si>
  <si>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</si>
  <si>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</si>
  <si>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</si>
  <si>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</si>
  <si>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</si>
  <si>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</si>
  <si>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</si>
  <si>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</si>
  <si>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</si>
  <si>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</si>
  <si>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</si>
  <si>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</si>
  <si>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</si>
  <si>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</si>
  <si>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</si>
  <si>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</si>
  <si>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</si>
  <si>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</si>
  <si>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</si>
  <si>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</si>
  <si>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</si>
  <si>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</si>
  <si>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</si>
  <si>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</si>
  <si>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</si>
  <si>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</si>
  <si>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</si>
  <si>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</si>
  <si>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</si>
  <si>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</si>
  <si>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</si>
  <si>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</si>
  <si>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</si>
  <si>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</si>
  <si>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</si>
  <si>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</si>
  <si>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</si>
  <si>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</si>
  <si>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</si>
  <si>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</si>
  <si>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</si>
  <si>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</si>
  <si>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</si>
  <si>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</si>
  <si>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</si>
  <si>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</si>
  <si>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</si>
  <si>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</si>
  <si>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</si>
  <si>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</si>
  <si>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</si>
  <si>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</si>
  <si>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</si>
  <si>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</si>
  <si>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</si>
  <si>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</si>
  <si>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</si>
  <si>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</si>
  <si>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</si>
  <si>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</si>
  <si>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</si>
  <si>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</si>
  <si>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</si>
  <si>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</si>
  <si>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</si>
  <si>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</si>
  <si>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</si>
  <si>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</si>
  <si>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</si>
  <si>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</si>
  <si>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</si>
  <si>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</si>
  <si>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</si>
  <si>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</si>
  <si>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</si>
  <si>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</si>
  <si>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</si>
  <si>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</si>
  <si>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</si>
  <si>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</si>
  <si>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</si>
  <si>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</si>
  <si>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</si>
  <si>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</si>
  <si>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</si>
  <si>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</si>
  <si>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</si>
  <si>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</si>
  <si>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</si>
  <si>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</si>
  <si>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</si>
  <si>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</si>
  <si>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</si>
  <si>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</si>
  <si>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</si>
  <si>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</si>
  <si>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</si>
  <si>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</si>
  <si>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</si>
  <si>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</si>
  <si>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</si>
  <si>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</si>
  <si>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</si>
  <si>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</si>
  <si>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</si>
  <si>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</si>
  <si>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</si>
  <si>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</si>
  <si>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</si>
  <si>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</si>
  <si>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</si>
  <si>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</si>
  <si>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</si>
  <si>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</si>
  <si>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</si>
  <si>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</si>
  <si>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</si>
  <si>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</si>
  <si>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</si>
  <si>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</si>
  <si>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</si>
  <si>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</si>
  <si>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</si>
  <si>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</si>
  <si>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</si>
  <si>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</si>
  <si>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</si>
  <si>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</si>
  <si>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</si>
  <si>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</si>
  <si>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</si>
  <si>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</si>
  <si>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</si>
  <si>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</si>
  <si>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</si>
  <si>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</si>
  <si>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</si>
  <si>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</si>
  <si>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</si>
  <si>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</si>
  <si>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</si>
  <si>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</si>
  <si>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</si>
  <si>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</si>
  <si>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</si>
  <si>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</si>
  <si>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</si>
  <si>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</si>
  <si>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</si>
  <si>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</si>
  <si>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</si>
  <si>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</si>
  <si>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</si>
  <si>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</si>
  <si>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</si>
  <si>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</si>
  <si>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</si>
  <si>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</si>
  <si>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</si>
  <si>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</si>
  <si>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</si>
  <si>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</si>
  <si>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</si>
  <si>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</si>
  <si>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</si>
  <si>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</si>
  <si>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</si>
  <si>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</si>
  <si>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</si>
  <si>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</si>
  <si>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</si>
  <si>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</si>
  <si>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</si>
  <si>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</si>
  <si>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</si>
  <si>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</si>
  <si>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</si>
  <si>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</si>
  <si>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</si>
  <si>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</si>
  <si>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</si>
  <si>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</si>
  <si>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</si>
  <si>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</si>
  <si>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</si>
  <si>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</si>
  <si>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</si>
  <si>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</si>
  <si>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</si>
  <si>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</si>
  <si>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</si>
  <si>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</si>
  <si>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</si>
  <si>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</si>
  <si>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</si>
  <si>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</si>
  <si>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</si>
  <si>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</si>
  <si>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</si>
  <si>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</si>
  <si>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</si>
  <si>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</si>
  <si>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</si>
  <si>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</si>
  <si>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</si>
  <si>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</si>
  <si>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</si>
  <si>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</si>
  <si>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</si>
  <si>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</si>
  <si>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</si>
  <si>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</si>
  <si>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</si>
  <si>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</si>
  <si>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</si>
  <si>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</si>
  <si>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</si>
  <si>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</si>
  <si>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</si>
  <si>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</si>
  <si>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</si>
  <si>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</si>
  <si>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</si>
  <si>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</si>
  <si>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</si>
  <si>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</si>
  <si>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</si>
  <si>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</si>
  <si>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</si>
  <si>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</si>
  <si>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</si>
  <si>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</si>
  <si>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</si>
  <si>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</si>
  <si>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</si>
  <si>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</si>
  <si>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</si>
  <si>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</si>
  <si>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</si>
  <si>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</si>
  <si>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</si>
  <si>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</si>
  <si>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</si>
  <si>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</si>
  <si>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</si>
  <si>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</si>
  <si>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</si>
  <si>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</si>
  <si>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</si>
  <si>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</si>
  <si>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</si>
  <si>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</si>
  <si>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</si>
  <si>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</si>
  <si>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</si>
  <si>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</si>
  <si>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</si>
  <si>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</si>
  <si>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</si>
  <si>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</si>
  <si>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</si>
  <si>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</si>
  <si>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</si>
  <si>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</si>
  <si>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</si>
  <si>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</si>
  <si>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</si>
  <si>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</si>
  <si>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</si>
  <si>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</si>
  <si>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</si>
  <si>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</si>
  <si>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</si>
  <si>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</si>
  <si>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</si>
  <si>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</si>
  <si>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</si>
  <si>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</si>
  <si>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</si>
  <si>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</si>
  <si>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</si>
  <si>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</si>
  <si>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</si>
  <si>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</si>
  <si>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</si>
  <si>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</si>
  <si>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</si>
  <si>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</si>
  <si>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</si>
  <si>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</si>
  <si>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</si>
  <si>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</si>
  <si>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</si>
  <si>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</si>
  <si>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</si>
  <si>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</si>
  <si>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</si>
  <si>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</si>
  <si>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</si>
  <si>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</si>
  <si>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</si>
  <si>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</si>
  <si>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</si>
  <si>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</si>
  <si>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</si>
  <si>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</si>
  <si>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</si>
  <si>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</si>
  <si>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</si>
  <si>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</si>
  <si>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</si>
  <si>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</si>
  <si>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</si>
  <si>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</si>
  <si>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</si>
  <si>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</si>
  <si>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</si>
  <si>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</si>
  <si>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</si>
  <si>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</si>
  <si>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</si>
  <si>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</si>
  <si>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</si>
  <si>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</si>
  <si>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</si>
  <si>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</si>
  <si>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</si>
  <si>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</si>
  <si>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</si>
  <si>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</si>
  <si>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</si>
  <si>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</si>
  <si>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</si>
  <si>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</si>
  <si>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</si>
  <si>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</si>
  <si>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</si>
  <si>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</si>
  <si>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</si>
  <si>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</si>
  <si>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</si>
  <si>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</si>
  <si>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</si>
  <si>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</si>
  <si>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</si>
  <si>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</si>
  <si>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</si>
  <si>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</si>
  <si>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</si>
  <si>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</si>
  <si>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</si>
  <si>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</si>
  <si>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</si>
  <si>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</si>
  <si>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</si>
  <si>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</si>
  <si>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</si>
  <si>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</si>
  <si>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</si>
  <si>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</si>
  <si>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</si>
  <si>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</si>
  <si>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</si>
  <si>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</si>
  <si>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</si>
  <si>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</si>
  <si>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</si>
  <si>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</si>
  <si>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</si>
  <si>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</si>
  <si>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</si>
  <si>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</si>
  <si>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</si>
  <si>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</si>
  <si>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</si>
  <si>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</si>
  <si>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</si>
  <si>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</si>
  <si>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</si>
  <si>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</si>
  <si>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</si>
  <si>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</si>
  <si>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</si>
  <si>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</si>
  <si>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</si>
  <si>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</si>
  <si>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</si>
  <si>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</si>
  <si>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</si>
  <si>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</si>
  <si>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</si>
  <si>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</si>
  <si>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</si>
  <si>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</si>
  <si>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</si>
  <si>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</si>
  <si>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</si>
  <si>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</si>
  <si>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</si>
  <si>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</si>
  <si>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</si>
  <si>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</si>
  <si>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</si>
  <si>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</si>
  <si>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</si>
  <si>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</si>
  <si>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</si>
  <si>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</si>
  <si>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</si>
  <si>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</si>
  <si>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</si>
  <si>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</si>
  <si>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</si>
  <si>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</si>
  <si>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</si>
  <si>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</si>
  <si>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</si>
  <si>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</si>
  <si>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</si>
  <si>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</si>
  <si>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</si>
  <si>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</si>
  <si>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</si>
  <si>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</si>
  <si>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</si>
  <si>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</si>
  <si>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</si>
  <si>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</si>
  <si>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</si>
  <si>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</si>
  <si>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</si>
  <si>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</si>
  <si>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</si>
  <si>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</si>
  <si>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</si>
  <si>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</si>
  <si>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</si>
  <si>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</si>
  <si>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</si>
  <si>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</si>
  <si>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</si>
  <si>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</si>
  <si>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</si>
  <si>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</si>
  <si>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</si>
  <si>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</si>
  <si>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</si>
  <si>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</si>
  <si>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</si>
  <si>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</si>
  <si>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</si>
  <si>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</si>
  <si>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</si>
  <si>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</si>
  <si>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</si>
  <si>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</si>
  <si>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</si>
  <si>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</si>
  <si>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</si>
  <si>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</si>
  <si>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</si>
  <si>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</si>
  <si>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</si>
  <si>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</si>
  <si>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</si>
  <si>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</si>
  <si>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</si>
  <si>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</si>
  <si>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</si>
  <si>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</si>
  <si>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</si>
  <si>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</si>
  <si>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</si>
  <si>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</si>
  <si>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</si>
  <si>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</si>
  <si>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</si>
  <si>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</si>
  <si>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</si>
  <si>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</si>
  <si>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</si>
  <si>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</si>
  <si>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</si>
  <si>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</si>
  <si>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</si>
  <si>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</si>
  <si>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</si>
  <si>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</si>
  <si>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</si>
  <si>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</si>
  <si>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</si>
  <si>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</si>
  <si>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</si>
  <si>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</si>
  <si>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</si>
  <si>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</si>
  <si>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</si>
  <si>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</si>
  <si>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</si>
  <si>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</si>
  <si>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</si>
  <si>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</si>
  <si>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</si>
  <si>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</si>
  <si>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</si>
  <si>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</si>
  <si>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</si>
  <si>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</si>
  <si>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</si>
  <si>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</si>
  <si>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</si>
  <si>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</si>
  <si>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</si>
  <si>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</si>
  <si>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</si>
  <si>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</si>
  <si>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</si>
  <si>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</si>
  <si>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</si>
  <si>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</si>
  <si>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</si>
  <si>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</si>
  <si>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</si>
  <si>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</si>
  <si>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</si>
  <si>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</si>
  <si>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</si>
  <si>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</si>
  <si>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</si>
  <si>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</si>
  <si>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</si>
  <si>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</si>
  <si>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</si>
  <si>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</si>
  <si>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</si>
  <si>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</si>
  <si>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</si>
  <si>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</si>
  <si>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</si>
  <si>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</si>
  <si>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</si>
  <si>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</si>
  <si>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</si>
  <si>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</si>
  <si>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</si>
  <si>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</si>
  <si>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</si>
  <si>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</si>
  <si>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</si>
  <si>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</si>
  <si>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</si>
  <si>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</si>
  <si>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</si>
  <si>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</si>
  <si>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</si>
  <si>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</si>
  <si>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</si>
  <si>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</si>
  <si>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</si>
  <si>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</si>
  <si>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</si>
  <si>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</si>
  <si>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</si>
  <si>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</si>
  <si>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</si>
  <si>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</si>
  <si>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</si>
  <si>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</si>
  <si>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</si>
  <si>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</si>
  <si>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</si>
  <si>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</si>
  <si>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</si>
  <si>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</si>
  <si>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</si>
  <si>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</si>
  <si>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</si>
  <si>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</si>
  <si>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</si>
  <si>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</si>
  <si>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</si>
  <si>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</si>
  <si>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</si>
  <si>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</si>
  <si>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</si>
  <si>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</si>
  <si>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</si>
  <si>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</si>
  <si>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</si>
  <si>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</si>
  <si>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</si>
  <si>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</si>
  <si>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</si>
  <si>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</si>
  <si>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</si>
  <si>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</si>
  <si>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</si>
  <si>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</si>
  <si>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Kane</t>
  </si>
  <si>
    <t>1877 Downers Place</t>
  </si>
  <si>
    <t>Aurora</t>
  </si>
  <si>
    <t>Crowe LLP</t>
  </si>
  <si>
    <t>Christine Torres</t>
  </si>
  <si>
    <t>One Mid America Plaza</t>
  </si>
  <si>
    <t>Oak Brook</t>
  </si>
  <si>
    <t>IL</t>
  </si>
  <si>
    <t>630-706-2074</t>
  </si>
  <si>
    <t>630-574-1608</t>
  </si>
  <si>
    <t>066-004207</t>
  </si>
  <si>
    <t>christine.torres@crowe.com</t>
  </si>
  <si>
    <t>jcraig@sd129.org</t>
  </si>
  <si>
    <t>Dr. Jeff Craig</t>
  </si>
  <si>
    <t>630-301-5100</t>
  </si>
  <si>
    <t>630-844-5710</t>
  </si>
  <si>
    <t>See PDF In Opinion Page</t>
  </si>
  <si>
    <t>Row 77 error - Due to Hope Wall being a joint agreement, there is no specific pension, OPED or on-behalf payments associated the the entity as all the employees are employees with one of the Districts associated with the joint agreement.</t>
  </si>
  <si>
    <t>Row 81 error - There are no shared outsourced services for the joint agreement.</t>
  </si>
  <si>
    <t>Hope Wall Joint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</si>
</sst>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xdr:row>
          <xdr:rowOff>66675</xdr:rowOff>
        </xdr:from>
        <xdr:to>
          <xdr:col>1</xdr:col>
          <xdr:colOff>1028700</xdr:colOff>
          <xdr:row>5</xdr:row>
          <xdr:rowOff>104775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2228850</xdr:colOff>
          <xdr:row>1</xdr:row>
          <xdr:rowOff>38100</xdr:rowOff>
        </xdr:from>
        <xdr:to>
          <xdr:col>1</xdr:col>
          <xdr:colOff>3143250</xdr:colOff>
          <xdr:row>5</xdr:row>
          <xdr:rowOff>76200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1</xdr:row>
          <xdr:rowOff>47625</xdr:rowOff>
        </xdr:from>
        <xdr:to>
          <xdr:col>1</xdr:col>
          <xdr:colOff>2095500</xdr:colOff>
          <xdr:row>5</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c r="C5" s="26" t="s">
        <v>910</v>
      </c>
      <c r="D5" s="84"/>
      <c r="E5" s="84"/>
      <c r="H5" s="38"/>
      <c r="I5" s="1994" t="s">
        <v>680</v>
      </c>
      <c r="J5" s="1993"/>
      <c r="K5" s="1993"/>
      <c r="L5" s="1993"/>
      <c r="M5" s="1993"/>
      <c r="N5" s="1993"/>
      <c r="O5" s="1993"/>
      <c r="P5" s="1993"/>
      <c r="Q5" s="1993"/>
      <c r="R5" s="1993"/>
      <c r="S5" s="1993"/>
    </row>
    <row r="6" spans="1:28" ht="14.1" customHeight="1" x14ac:dyDescent="0.2">
      <c r="B6" s="104" t="s">
        <v>2065</v>
      </c>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t="s">
        <v>2065</v>
      </c>
      <c r="P12" s="100" t="s">
        <v>202</v>
      </c>
      <c r="Q12" s="74"/>
      <c r="R12" s="30"/>
      <c r="S12" s="30"/>
      <c r="T12" s="85" t="s">
        <v>265</v>
      </c>
      <c r="U12" s="51"/>
      <c r="V12" s="51"/>
      <c r="W12" s="51"/>
      <c r="X12" s="51"/>
      <c r="Y12" s="45"/>
      <c r="Z12" s="45"/>
      <c r="AA12" s="46"/>
    </row>
    <row r="13" spans="1:28" ht="13.5" customHeight="1" x14ac:dyDescent="0.2">
      <c r="A13" s="2019">
        <v>31045129061</v>
      </c>
      <c r="B13" s="2020"/>
      <c r="C13" s="2020"/>
      <c r="D13" s="2020"/>
      <c r="E13" s="2020"/>
      <c r="F13" s="2020"/>
      <c r="G13" s="2020"/>
      <c r="H13" s="2021"/>
      <c r="I13" s="31"/>
      <c r="J13" s="30"/>
      <c r="K13" s="28"/>
      <c r="L13" s="30"/>
      <c r="M13" s="30"/>
      <c r="N13" s="30"/>
      <c r="O13" s="30"/>
      <c r="P13" s="30"/>
      <c r="Q13" s="30"/>
      <c r="R13" s="30"/>
      <c r="S13" s="30"/>
      <c r="T13" s="2024" t="s">
        <v>2069</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2066</v>
      </c>
      <c r="B15" s="2022"/>
      <c r="C15" s="2022"/>
      <c r="D15" s="2022"/>
      <c r="E15" s="2022"/>
      <c r="F15" s="2022"/>
      <c r="G15" s="2022"/>
      <c r="H15" s="2023"/>
      <c r="T15" s="2028" t="s">
        <v>2070</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2085</v>
      </c>
      <c r="B17" s="1979"/>
      <c r="C17" s="1979"/>
      <c r="D17" s="1979"/>
      <c r="E17" s="1979"/>
      <c r="F17" s="1979"/>
      <c r="G17" s="1979"/>
      <c r="H17" s="2004"/>
      <c r="T17" s="2035" t="s">
        <v>2071</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2067</v>
      </c>
      <c r="B19" s="1964"/>
      <c r="C19" s="1964"/>
      <c r="D19" s="1964"/>
      <c r="E19" s="1964"/>
      <c r="F19" s="1964"/>
      <c r="G19" s="1964"/>
      <c r="H19" s="1944"/>
      <c r="I19" s="30"/>
      <c r="J19" s="99"/>
      <c r="K19" s="40"/>
      <c r="L19" s="38"/>
      <c r="M19" s="112" t="s">
        <v>315</v>
      </c>
      <c r="P19" s="27"/>
      <c r="Q19" s="27"/>
      <c r="R19" s="27"/>
      <c r="S19" s="31"/>
      <c r="T19" s="2018" t="s">
        <v>2072</v>
      </c>
      <c r="U19" s="1943"/>
      <c r="V19" s="1943"/>
      <c r="W19" s="1944"/>
      <c r="X19" s="2033" t="s">
        <v>2073</v>
      </c>
      <c r="Y19" s="2034"/>
      <c r="Z19" s="2031">
        <v>60522</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2068</v>
      </c>
      <c r="B21" s="1943"/>
      <c r="C21" s="1943"/>
      <c r="D21" s="1943"/>
      <c r="E21" s="1943"/>
      <c r="F21" s="1943"/>
      <c r="G21" s="1943"/>
      <c r="H21" s="1944"/>
      <c r="I21" s="1998" t="s">
        <v>678</v>
      </c>
      <c r="J21" s="1993"/>
      <c r="K21" s="1993"/>
      <c r="L21" s="1993"/>
      <c r="M21" s="1993"/>
      <c r="N21" s="1993"/>
      <c r="O21" s="1993"/>
      <c r="P21" s="1993"/>
      <c r="Q21" s="1993"/>
      <c r="R21" s="1993"/>
      <c r="S21" s="1999"/>
      <c r="T21" s="2042" t="s">
        <v>2074</v>
      </c>
      <c r="U21" s="2043"/>
      <c r="V21" s="2043"/>
      <c r="W21" s="2043"/>
      <c r="X21" s="2048" t="s">
        <v>2075</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2078</v>
      </c>
      <c r="B23" s="1996"/>
      <c r="C23" s="1996"/>
      <c r="D23" s="1996"/>
      <c r="E23" s="1996"/>
      <c r="F23" s="1996"/>
      <c r="G23" s="1996"/>
      <c r="H23" s="1997"/>
      <c r="T23" s="1978" t="s">
        <v>2076</v>
      </c>
      <c r="U23" s="2041"/>
      <c r="V23" s="2041"/>
      <c r="W23" s="2041"/>
      <c r="X23" s="2045">
        <v>44530</v>
      </c>
      <c r="Y23" s="2046"/>
      <c r="Z23" s="2046"/>
      <c r="AA23" s="2047"/>
    </row>
    <row r="24" spans="1:27" ht="14.1" customHeight="1" x14ac:dyDescent="0.2">
      <c r="A24" s="88" t="s">
        <v>677</v>
      </c>
      <c r="B24" s="49"/>
      <c r="C24" s="49"/>
      <c r="D24" s="49"/>
      <c r="E24" s="49"/>
      <c r="F24" s="49"/>
      <c r="G24" s="49"/>
      <c r="H24" s="61"/>
      <c r="J24" s="1965" t="str">
        <f>IF(B5="x",IF(AUDITCHECK!D29="AFR form Incomplete.","",IF(AUDITCHECK!D29="Deficit reduction plan is required.","School District must complete a deficit reduction plan in the 2019-2020 Budget",)),"")</f>
        <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60506</v>
      </c>
      <c r="B25" s="1943"/>
      <c r="C25" s="1943"/>
      <c r="D25" s="1943"/>
      <c r="E25" s="1943"/>
      <c r="F25" s="1943"/>
      <c r="G25" s="1943"/>
      <c r="H25" s="1944"/>
      <c r="I25" s="113"/>
      <c r="J25" s="1967"/>
      <c r="K25" s="1967"/>
      <c r="L25" s="1967"/>
      <c r="M25" s="1967"/>
      <c r="N25" s="1967"/>
      <c r="O25" s="1967"/>
      <c r="P25" s="1967"/>
      <c r="Q25" s="1967"/>
      <c r="R25" s="1967"/>
      <c r="S25" s="1968"/>
      <c r="T25" s="2038" t="s">
        <v>2077</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2079</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2078</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2080</v>
      </c>
      <c r="B42" s="1962"/>
      <c r="C42" s="1963"/>
      <c r="D42" s="1961" t="s">
        <v>2081</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1954</v>
      </c>
      <c r="D2" s="723" t="s">
        <v>1955</v>
      </c>
      <c r="E2" s="723" t="s">
        <v>1956</v>
      </c>
      <c r="F2" s="1884" t="s">
        <v>1957</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1962</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1963</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6348385</v>
      </c>
      <c r="G8" s="865"/>
    </row>
    <row r="9" spans="1:7" x14ac:dyDescent="0.2">
      <c r="A9" s="869" t="s">
        <v>460</v>
      </c>
      <c r="B9" s="870" t="s">
        <v>1876</v>
      </c>
      <c r="C9" s="871"/>
      <c r="D9" s="869" t="s">
        <v>501</v>
      </c>
      <c r="E9" s="868"/>
      <c r="F9" s="1909">
        <f>'Expenditures 15-22'!K151</f>
        <v>661178</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129585</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7139148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8122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339150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347272</v>
      </c>
      <c r="G76" s="865"/>
    </row>
    <row r="77" spans="1:8" s="893" customFormat="1" ht="12" customHeight="1" thickTop="1" thickBot="1" x14ac:dyDescent="0.25">
      <c r="A77" s="1779"/>
      <c r="B77" s="1776"/>
      <c r="C77" s="1772"/>
      <c r="D77" s="1777" t="s">
        <v>1899</v>
      </c>
      <c r="E77" s="1774"/>
      <c r="F77" s="1780">
        <f>(F14-F76)</f>
        <v>6791876</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6315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2000000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97129</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2103444</v>
      </c>
    </row>
    <row r="175" spans="1:7" ht="12" customHeight="1" x14ac:dyDescent="0.2">
      <c r="A175" s="1770"/>
      <c r="B175" s="1784"/>
      <c r="C175" s="1785"/>
      <c r="D175" s="1786" t="s">
        <v>2055</v>
      </c>
      <c r="E175" s="1787"/>
      <c r="F175" s="1789">
        <f>'PCTC-OEPP 27-28'!F77-F174</f>
        <v>4688432</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2056</v>
      </c>
      <c r="E177" s="1787"/>
      <c r="F177" s="1789">
        <f>F175+F176</f>
        <v>4688432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A8" sqref="A8:G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9" t="s">
        <v>2064</v>
      </c>
      <c r="B6" s="1940"/>
      <c r="C6" s="1940"/>
      <c r="D6" s="1940"/>
      <c r="E6" s="1940"/>
      <c r="F6" s="1940"/>
      <c r="G6" s="1941"/>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8" t="s">
        <v>1975</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4656734</v>
      </c>
      <c r="F19" s="1799"/>
      <c r="G19" s="1801">
        <f>'Expenditures 15-22'!K33-SUM('Expenditures 15-22'!G33,'Expenditures 15-22'!I33)+'Expenditures 15-22'!D229</f>
        <v>4656734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1742889</v>
      </c>
      <c r="F21" s="1802"/>
      <c r="G21" s="1805">
        <f>'Expenditures 15-22'!K42-SUM('Expenditures 15-22'!G42,'Expenditures 15-22'!I42)+'Expenditures 15-22'!K120-SUM('Expenditures 15-22'!G120,'Expenditures 15-22'!I120)+'Expenditures 15-22'!K180-SUM('Expenditures 15-22'!G180,'Expenditures 15-22'!I180)+'Expenditures 15-22'!D238</f>
        <v>1742889</v>
      </c>
      <c r="H21" s="987"/>
      <c r="I21" s="162"/>
    </row>
    <row r="22" spans="1:9" s="668" customFormat="1" ht="12" customHeight="1" x14ac:dyDescent="0.2">
      <c r="A22" s="994" t="s">
        <v>564</v>
      </c>
      <c r="B22" s="995"/>
      <c r="C22" s="993">
        <v>2200</v>
      </c>
      <c r="D22" s="1802"/>
      <c r="E22" s="1804">
        <f>'Expenditures 15-22'!K47-SUM('Expenditures 15-22'!G47,'Expenditures 15-22'!I47)+'Expenditures 15-22'!D243</f>
        <v>3290</v>
      </c>
      <c r="F22" s="1802"/>
      <c r="G22" s="1805">
        <f>'Expenditures 15-22'!K47-SUM('Expenditures 15-22'!G47,'Expenditures 15-22'!I47)+'Expenditures 15-22'!D243</f>
        <v>3290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30943</v>
      </c>
      <c r="F23" s="1802"/>
      <c r="G23" s="1804">
        <f>'Expenditures 15-22'!K53-SUM('Expenditures 15-22'!G53,'Expenditures 15-22'!I53)+'Expenditures 15-22'!D257+'Expenditures 15-22'!K330-SUM('Expenditures 15-22'!G330,'Expenditures 15-22'!I330)</f>
        <v>30943</v>
      </c>
      <c r="H23" s="987"/>
      <c r="I23" s="162"/>
    </row>
    <row r="24" spans="1:9" s="668" customFormat="1" ht="12" customHeight="1" x14ac:dyDescent="0.2">
      <c r="A24" s="994" t="s">
        <v>566</v>
      </c>
      <c r="B24" s="995"/>
      <c r="C24" s="993">
        <v>2400</v>
      </c>
      <c r="D24" s="1802"/>
      <c r="E24" s="1804">
        <f>'Expenditures 15-22'!K57-SUM('Expenditures 15-22'!G57,'Expenditures 15-22'!I57)+'Expenditures 15-22'!D261</f>
        <v>1179</v>
      </c>
      <c r="F24" s="1802"/>
      <c r="G24" s="1805">
        <f>'Expenditures 15-22'!K57-SUM('Expenditures 15-22'!G57,'Expenditures 15-22'!I57)+'Expenditures 15-22'!D261</f>
        <v>1179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13344</v>
      </c>
      <c r="E27" s="1804">
        <f>E8</f>
        <v>0</v>
      </c>
      <c r="F27" s="1804">
        <f>'Expenditures 15-22'!K60-SUM('Expenditures 15-22'!G60,'Expenditures 15-22'!I60)+'Expenditures 15-22'!D264-E8</f>
        <v>13344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332422</v>
      </c>
      <c r="F28" s="1806">
        <f>'Expenditures 15-22'!K61-SUM('Expenditures 15-22'!G61,'Expenditures 15-22'!I61)+'Expenditures 15-22'!K124-SUM('Expenditures 15-22'!G124,'Expenditures 15-22'!I124)+'Expenditures 15-22'!D266-E9</f>
        <v>332422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2457</v>
      </c>
      <c r="F30" s="1802"/>
      <c r="G30" s="1804">
        <f>'Expenditures 15-22'!K63-SUM('Expenditures 15-22'!G63,'Expenditures 15-22'!I63)+'Expenditures 15-22'!D268-E10</f>
        <v>2457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3899</v>
      </c>
      <c r="E36" s="1804">
        <f>E13</f>
        <v>0</v>
      </c>
      <c r="F36" s="1804">
        <f>'Expenditures 15-22'!K70-SUM('Expenditures 15-22'!G70,'Expenditures 15-22'!I70)+'Expenditures 15-22'!D275-E13</f>
        <v>3899</v>
      </c>
      <c r="G36" s="1804">
        <f>E13</f>
        <v>0</v>
      </c>
    </row>
    <row r="37" spans="1:7" ht="12" customHeight="1" x14ac:dyDescent="0.2">
      <c r="A37" s="994" t="s">
        <v>404</v>
      </c>
      <c r="B37" s="997"/>
      <c r="C37" s="993">
        <v>2660</v>
      </c>
      <c r="D37" s="1804">
        <f>'Expenditures 15-22'!K71-SUM('Expenditures 15-22'!G71,'Expenditures 15-22'!I71)+'Expenditures 15-22'!D276-E14</f>
        <v>4719</v>
      </c>
      <c r="E37" s="1804">
        <f>E14</f>
        <v>0</v>
      </c>
      <c r="F37" s="1804">
        <f>'Expenditures 15-22'!K71-SUM('Expenditures 15-22'!G71,'Expenditures 15-22'!I71)+'Expenditures 15-22'!D276-E14</f>
        <v>4719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21962</v>
      </c>
      <c r="E41" s="1806">
        <f>SUM(E19:E40)</f>
        <v>6769914</v>
      </c>
      <c r="F41" s="1806">
        <f>SUM(F19:F39)</f>
        <v>354384</v>
      </c>
      <c r="G41" s="1806">
        <f>SUM(G19:G40)</f>
        <v>6437492</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21962</v>
      </c>
      <c r="F43" s="1807" t="s">
        <v>473</v>
      </c>
      <c r="G43" s="1808">
        <f>F41</f>
        <v>354384</v>
      </c>
    </row>
    <row r="44" spans="1:7" ht="12" customHeight="1" x14ac:dyDescent="0.2">
      <c r="A44" s="987"/>
      <c r="B44" s="162"/>
      <c r="C44" s="1001"/>
      <c r="D44" s="1807" t="s">
        <v>474</v>
      </c>
      <c r="E44" s="1808">
        <f>E41</f>
        <v>6769914</v>
      </c>
      <c r="F44" s="1807" t="s">
        <v>474</v>
      </c>
      <c r="G44" s="1808">
        <f>G41</f>
        <v>6437492</v>
      </c>
    </row>
    <row r="45" spans="1:7" ht="12" customHeight="1" x14ac:dyDescent="0.2">
      <c r="A45" s="987"/>
      <c r="B45" s="162"/>
      <c r="C45" s="162"/>
      <c r="D45" s="1809" t="s">
        <v>1006</v>
      </c>
      <c r="E45" s="1810">
        <f>(E43/E44)</f>
        <v>3.2440589348697781E-3</v>
      </c>
      <c r="F45" s="1809" t="s">
        <v>1006</v>
      </c>
      <c r="G45" s="1810">
        <f>(G43/G44)</f>
        <v>5.5050010159235926E-2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A7" sqref="A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Hope Wall Joint Agreement</v>
      </c>
      <c r="D6" s="2309"/>
      <c r="E6" s="2309"/>
      <c r="F6" s="1852"/>
    </row>
    <row r="7" spans="1:10" ht="11.25" customHeight="1" thickBot="1" x14ac:dyDescent="0.3">
      <c r="A7" s="1850"/>
      <c r="B7" s="1851"/>
      <c r="C7" s="2310">
        <f>COVER!A13</f>
        <v>31045129061</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Hope Wall Joint Agreement</v>
      </c>
      <c r="J6" s="2319"/>
      <c r="Q6" s="1664"/>
    </row>
    <row r="7" spans="1:17" x14ac:dyDescent="0.2">
      <c r="A7" s="2320" t="s">
        <v>869</v>
      </c>
      <c r="B7" s="2321"/>
      <c r="C7" s="2321"/>
      <c r="D7" s="2321"/>
      <c r="E7" s="2322"/>
      <c r="F7" s="1017"/>
      <c r="G7" s="1009"/>
      <c r="H7" s="1016" t="s">
        <v>372</v>
      </c>
      <c r="I7" s="2323">
        <f>COVER!A13</f>
        <v>31045129061</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30" t="s">
        <v>1979</v>
      </c>
      <c r="C20" s="2330"/>
      <c r="D20" s="233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2083</v>
      </c>
    </row>
    <row r="6" spans="1:2" x14ac:dyDescent="0.2">
      <c r="A6" s="1068">
        <v>2</v>
      </c>
      <c r="B6" s="329" t="s">
        <v>2084</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Hope Wall Joint Agreement</v>
      </c>
    </row>
    <row r="65" spans="2:2" x14ac:dyDescent="0.2">
      <c r="B65" s="1070">
        <f>COVER!A13</f>
        <v>31045129061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114300</xdr:colOff>
                <xdr:row>1</xdr:row>
                <xdr:rowOff>66675</xdr:rowOff>
              </from>
              <to>
                <xdr:col>1</xdr:col>
                <xdr:colOff>1028700</xdr:colOff>
                <xdr:row>5</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2228850</xdr:colOff>
                <xdr:row>1</xdr:row>
                <xdr:rowOff>38100</xdr:rowOff>
              </from>
              <to>
                <xdr:col>1</xdr:col>
                <xdr:colOff>3143250</xdr:colOff>
                <xdr:row>5</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1181100</xdr:colOff>
                <xdr:row>1</xdr:row>
                <xdr:rowOff>47625</xdr:rowOff>
              </from>
              <to>
                <xdr:col>1</xdr:col>
                <xdr:colOff>2095500</xdr:colOff>
                <xdr:row>5</xdr:row>
                <xdr:rowOff>85725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5139148</v>
      </c>
      <c r="C8" s="1815">
        <f>'Acct Summary 7-8'!D8</f>
        <v>2000000</v>
      </c>
      <c r="D8" s="1815">
        <f>'Acct Summary 7-8'!F8</f>
        <v>0</v>
      </c>
      <c r="E8" s="1815">
        <f>'Acct Summary 7-8'!I8</f>
        <v>0</v>
      </c>
      <c r="F8" s="1815">
        <f>SUM(B8:E8)</f>
        <v>7139148</v>
      </c>
    </row>
    <row r="9" spans="1:8" s="1079" customFormat="1" ht="14.25" customHeight="1" thickBot="1" x14ac:dyDescent="0.25">
      <c r="A9" s="1078" t="s">
        <v>1369</v>
      </c>
      <c r="B9" s="1816">
        <f>'Acct Summary 7-8'!C17</f>
        <v>6348385</v>
      </c>
      <c r="C9" s="1816">
        <f>'Acct Summary 7-8'!D17</f>
        <v>661178</v>
      </c>
      <c r="D9" s="1816">
        <f>'Acct Summary 7-8'!F17</f>
        <v>0</v>
      </c>
      <c r="E9" s="1815"/>
      <c r="F9" s="1815">
        <f>SUM(B9:E9)</f>
        <v>7009563</v>
      </c>
    </row>
    <row r="10" spans="1:8" s="1079" customFormat="1" ht="14.25" thickTop="1" thickBot="1" x14ac:dyDescent="0.25">
      <c r="A10" s="1080" t="s">
        <v>1370</v>
      </c>
      <c r="B10" s="1817">
        <f>(B8-B9)</f>
        <v>-1209237</v>
      </c>
      <c r="C10" s="1817">
        <f>(C8-C9)</f>
        <v>1338822</v>
      </c>
      <c r="D10" s="1817">
        <f>(D8-D9)</f>
        <v>0</v>
      </c>
      <c r="E10" s="1816">
        <f>(E8-E9)</f>
        <v>0</v>
      </c>
      <c r="F10" s="1818">
        <f>SUM(F8-F9)</f>
        <v>129585</v>
      </c>
    </row>
    <row r="11" spans="1:8" s="1079" customFormat="1" ht="14.25" thickTop="1" thickBot="1" x14ac:dyDescent="0.25">
      <c r="A11" s="1081" t="s">
        <v>1983</v>
      </c>
      <c r="B11" s="1819">
        <f>'Acct Summary 7-8'!C81</f>
        <v>410915</v>
      </c>
      <c r="C11" s="1819">
        <f>'Acct Summary 7-8'!D81</f>
        <v>-575011</v>
      </c>
      <c r="D11" s="1819">
        <f>'Acct Summary 7-8'!F81</f>
        <v>0</v>
      </c>
      <c r="E11" s="1819">
        <f>'Acct Summary 7-8'!I81</f>
        <v>0</v>
      </c>
      <c r="F11" s="1820">
        <f>SUM(B11:E11)</f>
        <v>-164096</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35" sqref="D3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ENTRY IS REQUIRED!</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ENTRY REQUIRED!</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31045129061</v>
      </c>
    </row>
    <row r="3" spans="1:2" x14ac:dyDescent="0.2">
      <c r="A3" t="s">
        <v>956</v>
      </c>
      <c r="B3" s="138" t="str">
        <f>COVER!A15</f>
        <v>Kane</v>
      </c>
    </row>
    <row r="4" spans="1:2" x14ac:dyDescent="0.2">
      <c r="A4" t="s">
        <v>1007</v>
      </c>
      <c r="B4" s="138" t="str">
        <f>COVER!A17</f>
        <v>Hope Wall Joint Agreement</v>
      </c>
    </row>
    <row r="5" spans="1:2" x14ac:dyDescent="0.2">
      <c r="A5" t="s">
        <v>704</v>
      </c>
      <c r="B5" s="138" t="str">
        <f>COVER!A38</f>
        <v>Dr. Jeff Craig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066-004207</v>
      </c>
    </row>
    <row r="16" spans="1:2" x14ac:dyDescent="0.2">
      <c r="A16" t="s">
        <v>422</v>
      </c>
      <c r="B16" s="138" t="str">
        <f>COVER!T13</f>
        <v>Crowe LLP</v>
      </c>
    </row>
    <row r="17" spans="1:2" x14ac:dyDescent="0.2">
      <c r="A17" t="s">
        <v>884</v>
      </c>
      <c r="B17" s="138" t="str">
        <f>COVER!T15</f>
        <v>Christine Torres</v>
      </c>
    </row>
    <row r="18" spans="1:2" x14ac:dyDescent="0.2">
      <c r="A18" t="s">
        <v>1150</v>
      </c>
      <c r="B18" s="138" t="str">
        <f>COVER!T17</f>
        <v>One Mid America Plaza</v>
      </c>
    </row>
    <row r="19" spans="1:2" x14ac:dyDescent="0.2">
      <c r="A19" t="s">
        <v>886</v>
      </c>
      <c r="B19" s="138" t="str">
        <f>COVER!T25</f>
        <v>christine.torres@crowe.com</v>
      </c>
    </row>
    <row r="20" spans="1:2" x14ac:dyDescent="0.2">
      <c r="A20" t="s">
        <v>887</v>
      </c>
      <c r="B20" s="138" t="str">
        <f>COVER!T19</f>
        <v>Oak Brook</v>
      </c>
    </row>
    <row r="21" spans="1:2" x14ac:dyDescent="0.2">
      <c r="A21" t="s">
        <v>479</v>
      </c>
      <c r="B21" s="138" t="str">
        <f>COVER!X19</f>
        <v>IL</v>
      </c>
    </row>
    <row r="22" spans="1:2" x14ac:dyDescent="0.2">
      <c r="A22" t="s">
        <v>888</v>
      </c>
      <c r="B22" s="138">
        <f>COVER!Z19</f>
        <v>60522</v>
      </c>
    </row>
    <row r="23" spans="1:2" x14ac:dyDescent="0.2">
      <c r="A23" t="s">
        <v>1152</v>
      </c>
      <c r="B23" s="138" t="str">
        <f>COVER!T21</f>
        <v>630-706-2074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313753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1550960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193788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1140045</v>
      </c>
      <c r="C91" s="2" t="s">
        <v>573</v>
      </c>
      <c r="D91" s="2" t="str">
        <f t="shared" si="0"/>
        <v>Error?</v>
      </c>
    </row>
    <row r="92" spans="1:4" x14ac:dyDescent="0.2">
      <c r="A92" s="5">
        <v>31</v>
      </c>
      <c r="B92" s="138">
        <f>'Assets-Liab 5-6'!C39</f>
        <v>410915</v>
      </c>
      <c r="D92" s="2" t="str">
        <f t="shared" si="0"/>
        <v>Error?</v>
      </c>
    </row>
    <row r="93" spans="1:4" x14ac:dyDescent="0.2">
      <c r="A93" s="5">
        <v>32</v>
      </c>
      <c r="B93" s="138">
        <f>'Assets-Liab 5-6'!C41</f>
        <v>1550960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673837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673837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1248848</v>
      </c>
      <c r="C122" s="2" t="s">
        <v>573</v>
      </c>
      <c r="D122" s="2" t="str">
        <f t="shared" si="0"/>
        <v>Error?</v>
      </c>
    </row>
    <row r="123" spans="1:4" x14ac:dyDescent="0.2">
      <c r="A123" s="5">
        <v>62</v>
      </c>
      <c r="B123" s="138">
        <f>'Assets-Liab 5-6'!D39</f>
        <v>-575011</v>
      </c>
      <c r="D123" s="2" t="str">
        <f t="shared" si="0"/>
        <v>Error?</v>
      </c>
    </row>
    <row r="124" spans="1:4" x14ac:dyDescent="0.2">
      <c r="A124" s="5">
        <v>63</v>
      </c>
      <c r="B124" s="138">
        <f>'Assets-Liab 5-6'!D41</f>
        <v>673837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197956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197956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197956</v>
      </c>
      <c r="D189" s="2" t="str">
        <f t="shared" si="1"/>
        <v>Error?</v>
      </c>
    </row>
    <row r="190" spans="1:4" x14ac:dyDescent="0.2">
      <c r="A190" s="5">
        <v>129</v>
      </c>
      <c r="B190" s="138">
        <f>'Assets-Liab 5-6'!G41</f>
        <v>197956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23924</v>
      </c>
      <c r="D717" s="2" t="str">
        <f t="shared" si="10"/>
        <v>Error?</v>
      </c>
    </row>
    <row r="718" spans="1:4" x14ac:dyDescent="0.2">
      <c r="A718" s="5">
        <v>657</v>
      </c>
      <c r="B718" s="138">
        <f>'Expenditures 15-22'!C14</f>
        <v>25500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3441828</v>
      </c>
      <c r="C720" s="2" t="s">
        <v>573</v>
      </c>
      <c r="D720" s="2" t="str">
        <f t="shared" si="10"/>
        <v>Error?</v>
      </c>
    </row>
    <row r="721" spans="1:4" x14ac:dyDescent="0.2">
      <c r="A721" s="5">
        <v>660</v>
      </c>
      <c r="B721" s="138">
        <f>'Expenditures 15-22'!C36</f>
        <v>176556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110534</v>
      </c>
      <c r="D723" s="2" t="str">
        <f t="shared" si="10"/>
        <v>Error?</v>
      </c>
    </row>
    <row r="724" spans="1:4" x14ac:dyDescent="0.2">
      <c r="A724" s="5">
        <v>663</v>
      </c>
      <c r="B724" s="138">
        <f>'Expenditures 15-22'!C39</f>
        <v>73827</v>
      </c>
      <c r="D724" s="2" t="str">
        <f t="shared" si="10"/>
        <v>Error?</v>
      </c>
    </row>
    <row r="725" spans="1:4" x14ac:dyDescent="0.2">
      <c r="A725" s="5">
        <v>664</v>
      </c>
      <c r="B725" s="138">
        <f>'Expenditures 15-22'!C40</f>
        <v>351697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712614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712614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4154442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12197</v>
      </c>
      <c r="D775" s="2" t="str">
        <f t="shared" si="11"/>
        <v>Error?</v>
      </c>
    </row>
    <row r="776" spans="1:4" x14ac:dyDescent="0.2">
      <c r="A776" s="5">
        <v>715</v>
      </c>
      <c r="B776" s="138">
        <f>'Expenditures 15-22'!D14</f>
        <v>3290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1006473</v>
      </c>
      <c r="C778" s="2" t="s">
        <v>573</v>
      </c>
      <c r="D778" s="2" t="str">
        <f t="shared" si="11"/>
        <v>Error?</v>
      </c>
    </row>
    <row r="779" spans="1:4" x14ac:dyDescent="0.2">
      <c r="A779" s="5">
        <v>718</v>
      </c>
      <c r="B779" s="138">
        <f>'Expenditures 15-22'!D36</f>
        <v>43280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22980</v>
      </c>
      <c r="D781" s="2" t="str">
        <f t="shared" si="11"/>
        <v>Error?</v>
      </c>
    </row>
    <row r="782" spans="1:4" x14ac:dyDescent="0.2">
      <c r="A782" s="5">
        <v>721</v>
      </c>
      <c r="B782" s="138">
        <f>'Expenditures 15-22'!D39</f>
        <v>17050</v>
      </c>
      <c r="D782" s="2" t="str">
        <f t="shared" si="11"/>
        <v>Error?</v>
      </c>
    </row>
    <row r="783" spans="1:4" x14ac:dyDescent="0.2">
      <c r="A783" s="5">
        <v>722</v>
      </c>
      <c r="B783" s="138">
        <f>'Expenditures 15-22'!D40</f>
        <v>84424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167734</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3899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3899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171633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1178106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46693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18277</v>
      </c>
      <c r="D839" s="2" t="str">
        <f t="shared" si="12"/>
        <v>Error?</v>
      </c>
    </row>
    <row r="840" spans="1:4" x14ac:dyDescent="0.2">
      <c r="A840" s="5">
        <v>779</v>
      </c>
      <c r="B840" s="138">
        <f>'Expenditures 15-22'!E39</f>
        <v>12880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829139</v>
      </c>
      <c r="D842" s="2" t="str">
        <f t="shared" si="12"/>
        <v>Error?</v>
      </c>
    </row>
    <row r="843" spans="1:4" x14ac:dyDescent="0.2">
      <c r="A843" s="5">
        <v>782</v>
      </c>
      <c r="B843" s="138">
        <f>'Expenditures 15-22'!E42</f>
        <v>860296</v>
      </c>
      <c r="C843" s="2" t="s">
        <v>573</v>
      </c>
      <c r="D843" s="2" t="str">
        <f t="shared" si="12"/>
        <v>Error?</v>
      </c>
    </row>
    <row r="844" spans="1:4" x14ac:dyDescent="0.2">
      <c r="A844" s="5">
        <v>783</v>
      </c>
      <c r="B844" s="138">
        <f>'Expenditures 15-22'!E44</f>
        <v>850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850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30943</v>
      </c>
      <c r="C850" s="2" t="s">
        <v>573</v>
      </c>
      <c r="D850" s="2" t="str">
        <f t="shared" si="12"/>
        <v>Error?</v>
      </c>
    </row>
    <row r="851" spans="1:4" x14ac:dyDescent="0.2">
      <c r="A851" s="5">
        <v>790</v>
      </c>
      <c r="B851" s="138">
        <f>'Expenditures 15-22'!E55</f>
        <v>465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13344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13847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906401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953094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44794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2154</v>
      </c>
      <c r="D902" s="2" t="str">
        <f t="shared" si="13"/>
        <v>Error?</v>
      </c>
    </row>
    <row r="903" spans="1:4" x14ac:dyDescent="0.2">
      <c r="A903" s="5">
        <v>842</v>
      </c>
      <c r="B903" s="138">
        <f>'Expenditures 15-22'!F45</f>
        <v>286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2440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714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1954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4719</v>
      </c>
      <c r="D925" s="2" t="str">
        <f t="shared" si="13"/>
        <v>Error?</v>
      </c>
    </row>
    <row r="926" spans="1:4" x14ac:dyDescent="0.2">
      <c r="A926" s="10">
        <v>865</v>
      </c>
      <c r="D926" s="2" t="str">
        <f t="shared" si="13"/>
        <v>OK</v>
      </c>
    </row>
    <row r="927" spans="1:4" x14ac:dyDescent="0.2">
      <c r="A927" s="5">
        <v>866</v>
      </c>
      <c r="B927" s="138">
        <f>'Expenditures 15-22'!F72</f>
        <v>4719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9827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54621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8122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8122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36121</v>
      </c>
      <c r="C1105" s="2" t="s">
        <v>573</v>
      </c>
      <c r="D1105" s="2" t="str">
        <f t="shared" si="16"/>
        <v>Error?</v>
      </c>
    </row>
    <row r="1106" spans="1:4" x14ac:dyDescent="0.2">
      <c r="A1106" s="5">
        <v>1045</v>
      </c>
      <c r="B1106" s="138">
        <f>'Expenditures 15-22'!K14</f>
        <v>28790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4547910</v>
      </c>
      <c r="C1108" s="2" t="s">
        <v>573</v>
      </c>
      <c r="D1108" s="2" t="str">
        <f t="shared" si="16"/>
        <v>Error?</v>
      </c>
    </row>
    <row r="1109" spans="1:4" x14ac:dyDescent="0.2">
      <c r="A1109" s="5">
        <v>1048</v>
      </c>
      <c r="B1109" s="138">
        <f>'Expenditures 15-22'!K36</f>
        <v>219836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151791</v>
      </c>
      <c r="C1111" s="2" t="s">
        <v>573</v>
      </c>
      <c r="D1111" s="2" t="str">
        <f t="shared" si="16"/>
        <v>Error?</v>
      </c>
    </row>
    <row r="1112" spans="1:4" x14ac:dyDescent="0.2">
      <c r="A1112" s="5">
        <v>1051</v>
      </c>
      <c r="B1112" s="138">
        <f>'Expenditures 15-22'!K39</f>
        <v>103757</v>
      </c>
      <c r="C1112" s="2" t="s">
        <v>573</v>
      </c>
      <c r="D1112" s="2" t="str">
        <f t="shared" si="16"/>
        <v>Error?</v>
      </c>
    </row>
    <row r="1113" spans="1:4" x14ac:dyDescent="0.2">
      <c r="A1113" s="5">
        <v>1052</v>
      </c>
      <c r="B1113" s="138">
        <f>'Expenditures 15-22'!K40</f>
        <v>436121</v>
      </c>
      <c r="C1113" s="2" t="s">
        <v>573</v>
      </c>
      <c r="D1113" s="2" t="str">
        <f t="shared" si="16"/>
        <v>Error?</v>
      </c>
    </row>
    <row r="1114" spans="1:4" x14ac:dyDescent="0.2">
      <c r="A1114" s="5">
        <v>1053</v>
      </c>
      <c r="B1114" s="138">
        <f>'Expenditures 15-22'!K41</f>
        <v>829139</v>
      </c>
      <c r="C1114" s="2" t="s">
        <v>573</v>
      </c>
      <c r="D1114" s="2" t="str">
        <f t="shared" si="16"/>
        <v>Error?</v>
      </c>
    </row>
    <row r="1115" spans="1:4" x14ac:dyDescent="0.2">
      <c r="A1115" s="5">
        <v>1054</v>
      </c>
      <c r="B1115" s="138">
        <f>'Expenditures 15-22'!K42</f>
        <v>1740644</v>
      </c>
      <c r="C1115" s="2" t="s">
        <v>573</v>
      </c>
      <c r="D1115" s="2" t="str">
        <f t="shared" si="16"/>
        <v>Error?</v>
      </c>
    </row>
    <row r="1116" spans="1:4" x14ac:dyDescent="0.2">
      <c r="A1116" s="5">
        <v>1055</v>
      </c>
      <c r="B1116" s="138">
        <f>'Expenditures 15-22'!K44</f>
        <v>3004</v>
      </c>
      <c r="C1116" s="2" t="s">
        <v>573</v>
      </c>
      <c r="D1116" s="2" t="str">
        <f t="shared" si="16"/>
        <v>Error?</v>
      </c>
    </row>
    <row r="1117" spans="1:4" x14ac:dyDescent="0.2">
      <c r="A1117" s="5">
        <v>1056</v>
      </c>
      <c r="B1117" s="138">
        <f>'Expenditures 15-22'!K45</f>
        <v>286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3290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30943</v>
      </c>
      <c r="C1122" s="2" t="s">
        <v>573</v>
      </c>
      <c r="D1122" s="2" t="str">
        <f t="shared" si="16"/>
        <v>Error?</v>
      </c>
    </row>
    <row r="1123" spans="1:4" x14ac:dyDescent="0.2">
      <c r="A1123" s="5">
        <v>1062</v>
      </c>
      <c r="B1123" s="138">
        <f>'Expenditures 15-22'!K55</f>
        <v>1179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1179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13344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2457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15801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3899</v>
      </c>
      <c r="C1137" s="2" t="s">
        <v>573</v>
      </c>
      <c r="D1137" s="2" t="str">
        <f t="shared" si="16"/>
        <v>Error?</v>
      </c>
    </row>
    <row r="1138" spans="1:4" x14ac:dyDescent="0.2">
      <c r="A1138" s="10">
        <v>1077</v>
      </c>
      <c r="D1138" s="2" t="str">
        <f t="shared" si="16"/>
        <v>OK</v>
      </c>
    </row>
    <row r="1139" spans="1:4" x14ac:dyDescent="0.2">
      <c r="A1139" s="5">
        <v>1078</v>
      </c>
      <c r="B1139" s="138">
        <f>'Expenditures 15-22'!K71</f>
        <v>4719</v>
      </c>
      <c r="C1139" s="2" t="s">
        <v>573</v>
      </c>
      <c r="D1139" s="2" t="str">
        <f t="shared" si="16"/>
        <v>Error?</v>
      </c>
    </row>
    <row r="1140" spans="1:4" x14ac:dyDescent="0.2">
      <c r="A1140" s="10">
        <v>1079</v>
      </c>
      <c r="D1140" s="2" t="str">
        <f t="shared" si="16"/>
        <v>OK</v>
      </c>
    </row>
    <row r="1141" spans="1:4" x14ac:dyDescent="0.2">
      <c r="A1141" s="5">
        <v>1080</v>
      </c>
      <c r="B1141" s="138">
        <f>'Expenditures 15-22'!K72</f>
        <v>8618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1800475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6348385</v>
      </c>
      <c r="C1152" s="2" t="s">
        <v>573</v>
      </c>
      <c r="D1152" s="2" t="str">
        <f t="shared" si="17"/>
        <v>Error?</v>
      </c>
    </row>
    <row r="1153" spans="1:4" x14ac:dyDescent="0.2">
      <c r="A1153" s="5">
        <v>1092</v>
      </c>
      <c r="B1153" s="138">
        <f>'Expenditures 15-22'!K115</f>
        <v>-1209237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102868</v>
      </c>
      <c r="D1221" s="2" t="str">
        <f t="shared" si="18"/>
        <v>Error?</v>
      </c>
    </row>
    <row r="1222" spans="1:4" x14ac:dyDescent="0.2">
      <c r="A1222" s="10">
        <v>1161</v>
      </c>
      <c r="D1222" s="2" t="str">
        <f t="shared" si="18"/>
        <v>OK</v>
      </c>
    </row>
    <row r="1223" spans="1:4" x14ac:dyDescent="0.2">
      <c r="A1223" s="5">
        <v>1162</v>
      </c>
      <c r="B1223" s="138">
        <f>'Expenditures 15-22'!C127</f>
        <v>102868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102868</v>
      </c>
      <c r="C1225" s="2" t="s">
        <v>573</v>
      </c>
      <c r="D1225" s="2" t="str">
        <f t="shared" si="18"/>
        <v>Error?</v>
      </c>
    </row>
    <row r="1226" spans="1:4" x14ac:dyDescent="0.2">
      <c r="A1226" s="5">
        <v>1165</v>
      </c>
      <c r="B1226" s="138">
        <f>'Expenditures 15-22'!C151</f>
        <v>102868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26611</v>
      </c>
      <c r="D1229" s="2" t="str">
        <f t="shared" si="18"/>
        <v>Error?</v>
      </c>
    </row>
    <row r="1230" spans="1:4" x14ac:dyDescent="0.2">
      <c r="A1230" s="10">
        <v>1169</v>
      </c>
      <c r="D1230" s="2" t="str">
        <f t="shared" si="18"/>
        <v>OK</v>
      </c>
    </row>
    <row r="1231" spans="1:4" x14ac:dyDescent="0.2">
      <c r="A1231" s="5">
        <v>1170</v>
      </c>
      <c r="B1231" s="138">
        <f>'Expenditures 15-22'!D127</f>
        <v>26611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26611</v>
      </c>
      <c r="C1233" s="2" t="s">
        <v>573</v>
      </c>
      <c r="D1233" s="2" t="str">
        <f t="shared" si="18"/>
        <v>Error?</v>
      </c>
    </row>
    <row r="1234" spans="1:4" x14ac:dyDescent="0.2">
      <c r="A1234" s="5">
        <v>1173</v>
      </c>
      <c r="B1234" s="138">
        <f>'Expenditures 15-22'!D151</f>
        <v>26611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72927</v>
      </c>
      <c r="D1237" s="2" t="str">
        <f t="shared" si="18"/>
        <v>Error?</v>
      </c>
    </row>
    <row r="1238" spans="1:4" x14ac:dyDescent="0.2">
      <c r="A1238" s="10">
        <v>1177</v>
      </c>
      <c r="D1238" s="2" t="str">
        <f t="shared" si="18"/>
        <v>OK</v>
      </c>
    </row>
    <row r="1239" spans="1:4" x14ac:dyDescent="0.2">
      <c r="A1239" s="5">
        <v>1178</v>
      </c>
      <c r="B1239" s="138">
        <f>'Expenditures 15-22'!E127</f>
        <v>72927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72927</v>
      </c>
      <c r="C1241" s="2" t="s">
        <v>573</v>
      </c>
      <c r="D1241" s="2" t="str">
        <f t="shared" si="18"/>
        <v>Error?</v>
      </c>
    </row>
    <row r="1242" spans="1:4" x14ac:dyDescent="0.2">
      <c r="A1242" s="5">
        <v>1181</v>
      </c>
      <c r="B1242" s="138">
        <f>'Expenditures 15-22'!E151</f>
        <v>72927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119622</v>
      </c>
      <c r="D1245" s="2" t="str">
        <f t="shared" si="18"/>
        <v>Error?</v>
      </c>
    </row>
    <row r="1246" spans="1:4" x14ac:dyDescent="0.2">
      <c r="A1246" s="10">
        <v>1185</v>
      </c>
      <c r="D1246" s="2" t="str">
        <f t="shared" si="18"/>
        <v>OK</v>
      </c>
    </row>
    <row r="1247" spans="1:4" x14ac:dyDescent="0.2">
      <c r="A1247" s="5">
        <v>1186</v>
      </c>
      <c r="B1247" s="138">
        <f>'Expenditures 15-22'!F127</f>
        <v>119622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119622</v>
      </c>
      <c r="C1249" s="2" t="s">
        <v>573</v>
      </c>
      <c r="D1249" s="2" t="str">
        <f t="shared" si="18"/>
        <v>Error?</v>
      </c>
    </row>
    <row r="1250" spans="1:4" x14ac:dyDescent="0.2">
      <c r="A1250" s="5">
        <v>1189</v>
      </c>
      <c r="B1250" s="138">
        <f>'Expenditures 15-22'!F151</f>
        <v>119622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339150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339150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339150</v>
      </c>
      <c r="C1258" s="2" t="s">
        <v>573</v>
      </c>
      <c r="D1258" s="2" t="str">
        <f t="shared" si="18"/>
        <v>Error?</v>
      </c>
    </row>
    <row r="1259" spans="1:4" x14ac:dyDescent="0.2">
      <c r="A1259" s="5">
        <v>1198</v>
      </c>
      <c r="B1259" s="138">
        <f>'Expenditures 15-22'!G151</f>
        <v>339150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339150</v>
      </c>
      <c r="C1275" s="2" t="s">
        <v>573</v>
      </c>
      <c r="D1275" s="2" t="str">
        <f t="shared" si="18"/>
        <v>Error?</v>
      </c>
    </row>
    <row r="1276" spans="1:4" x14ac:dyDescent="0.2">
      <c r="A1276" s="5">
        <v>1215</v>
      </c>
      <c r="B1276" s="138">
        <f>'Expenditures 15-22'!K124</f>
        <v>322028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661178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661178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661178</v>
      </c>
      <c r="C1288" s="2" t="s">
        <v>573</v>
      </c>
      <c r="D1288" s="2" t="str">
        <f t="shared" si="19"/>
        <v>Error?</v>
      </c>
    </row>
    <row r="1289" spans="1:4" x14ac:dyDescent="0.2">
      <c r="A1289" s="5">
        <v>1228</v>
      </c>
      <c r="B1289" s="138">
        <f>'Expenditures 15-22'!K152</f>
        <v>1338822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2348</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116946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2245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2245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10394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10394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12639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129585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2348</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116946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2245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2245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10394</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10394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12639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129585</v>
      </c>
      <c r="C1517" s="2" t="s">
        <v>573</v>
      </c>
      <c r="D1517" s="2" t="str">
        <f t="shared" si="22"/>
        <v>Error?</v>
      </c>
    </row>
    <row r="1518" spans="1:4" x14ac:dyDescent="0.2">
      <c r="A1518" s="5">
        <v>1457</v>
      </c>
      <c r="B1518" s="138">
        <f>'Expenditures 15-22'!K296</f>
        <v>-129585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1620152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410915</v>
      </c>
      <c r="C1630" s="2" t="s">
        <v>573</v>
      </c>
      <c r="D1630" s="2" t="str">
        <f t="shared" si="24"/>
        <v>Error?</v>
      </c>
    </row>
    <row r="1631" spans="1:4" x14ac:dyDescent="0.2">
      <c r="A1631" s="5">
        <v>1570</v>
      </c>
      <c r="B1631" s="138">
        <f>'Acct Summary 7-8'!D79</f>
        <v>-1913833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-575011</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327541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197956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4981207</v>
      </c>
      <c r="C2551" s="2" t="s">
        <v>573</v>
      </c>
      <c r="D2551" s="2" t="str">
        <f t="shared" si="38"/>
        <v>Error?</v>
      </c>
    </row>
    <row r="2552" spans="1:4" x14ac:dyDescent="0.2">
      <c r="A2552" s="10">
        <v>2491</v>
      </c>
      <c r="D2552" s="2" t="str">
        <f t="shared" si="38"/>
        <v>OK</v>
      </c>
    </row>
    <row r="2553" spans="1:4" x14ac:dyDescent="0.2">
      <c r="A2553" s="5">
        <v>2492</v>
      </c>
      <c r="B2553" s="138">
        <f>'Acct Summary 7-8'!C6</f>
        <v>0</v>
      </c>
      <c r="C2553" s="2" t="s">
        <v>573</v>
      </c>
      <c r="D2553" s="2" t="str">
        <f t="shared" si="38"/>
        <v>Error?</v>
      </c>
    </row>
    <row r="2554" spans="1:4" x14ac:dyDescent="0.2">
      <c r="A2554" s="5">
        <v>2493</v>
      </c>
      <c r="B2554" s="138">
        <f>'Acct Summary 7-8'!C7</f>
        <v>157941</v>
      </c>
      <c r="C2554" s="2" t="s">
        <v>573</v>
      </c>
      <c r="D2554" s="2" t="str">
        <f t="shared" si="38"/>
        <v>Error?</v>
      </c>
    </row>
    <row r="2555" spans="1:4" x14ac:dyDescent="0.2">
      <c r="A2555" s="5">
        <v>2494</v>
      </c>
      <c r="B2555" s="138">
        <f>'Acct Summary 7-8'!C8</f>
        <v>5139148</v>
      </c>
      <c r="C2555" s="2" t="s">
        <v>573</v>
      </c>
      <c r="D2555" s="2" t="str">
        <f t="shared" si="38"/>
        <v>Error?</v>
      </c>
    </row>
    <row r="2556" spans="1:4" x14ac:dyDescent="0.2">
      <c r="A2556" s="5">
        <v>2495</v>
      </c>
      <c r="B2556" s="138">
        <f>'Acct Summary 7-8'!C12</f>
        <v>4547910</v>
      </c>
      <c r="C2556" s="2" t="s">
        <v>573</v>
      </c>
      <c r="D2556" s="2" t="str">
        <f t="shared" si="38"/>
        <v>Error?</v>
      </c>
    </row>
    <row r="2557" spans="1:4" x14ac:dyDescent="0.2">
      <c r="A2557" s="5">
        <v>2496</v>
      </c>
      <c r="B2557" s="138">
        <f>'Acct Summary 7-8'!C13</f>
        <v>1800475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6348385</v>
      </c>
      <c r="C2561" s="2" t="s">
        <v>573</v>
      </c>
      <c r="D2561" s="2" t="str">
        <f t="shared" si="39"/>
        <v>Error?</v>
      </c>
    </row>
    <row r="2562" spans="1:4" x14ac:dyDescent="0.2">
      <c r="A2562" s="5">
        <v>2501</v>
      </c>
      <c r="B2562" s="138">
        <f>'Acct Summary 7-8'!C20</f>
        <v>-1209237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2000000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2000000</v>
      </c>
      <c r="C2568" s="2" t="s">
        <v>573</v>
      </c>
      <c r="D2568" s="2" t="str">
        <f t="shared" si="39"/>
        <v>Error?</v>
      </c>
    </row>
    <row r="2569" spans="1:4" x14ac:dyDescent="0.2">
      <c r="A2569" s="5">
        <v>2508</v>
      </c>
      <c r="B2569" s="138">
        <f>'Acct Summary 7-8'!D13</f>
        <v>661178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661178</v>
      </c>
      <c r="C2573" s="2" t="s">
        <v>573</v>
      </c>
      <c r="D2573" s="2" t="str">
        <f t="shared" si="39"/>
        <v>Error?</v>
      </c>
    </row>
    <row r="2574" spans="1:4" x14ac:dyDescent="0.2">
      <c r="A2574" s="5">
        <v>2513</v>
      </c>
      <c r="B2574" s="138">
        <f>'Acct Summary 7-8'!D20</f>
        <v>1338822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116946</v>
      </c>
      <c r="C2607" s="2" t="s">
        <v>573</v>
      </c>
      <c r="D2607" s="2" t="str">
        <f t="shared" si="39"/>
        <v>Error?</v>
      </c>
    </row>
    <row r="2608" spans="1:4" x14ac:dyDescent="0.2">
      <c r="A2608" s="5">
        <v>2547</v>
      </c>
      <c r="B2608" s="138">
        <f>'Acct Summary 7-8'!G13</f>
        <v>12639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129585</v>
      </c>
      <c r="C2612" s="2" t="s">
        <v>573</v>
      </c>
      <c r="D2612" s="2" t="str">
        <f t="shared" si="39"/>
        <v>Error?</v>
      </c>
    </row>
    <row r="2613" spans="1:4" x14ac:dyDescent="0.2">
      <c r="A2613" s="5">
        <v>2552</v>
      </c>
      <c r="B2613" s="138">
        <f>'Acct Summary 7-8'!G20</f>
        <v>-129585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-1209237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1338822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-129585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3392404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990986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46693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44794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8122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4482999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114598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114598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5139148</v>
      </c>
      <c r="C4122" s="2" t="s">
        <v>573</v>
      </c>
      <c r="D4122" s="2" t="str">
        <f t="shared" si="63"/>
        <v>Error?</v>
      </c>
    </row>
    <row r="4123" spans="1:4" x14ac:dyDescent="0.2">
      <c r="A4123" s="5">
        <v>4062</v>
      </c>
      <c r="B4123" s="138">
        <f>'Acct Summary 7-8'!D10</f>
        <v>2000000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6348385</v>
      </c>
      <c r="C4136" s="2" t="s">
        <v>573</v>
      </c>
      <c r="D4136" s="2" t="str">
        <f t="shared" si="63"/>
        <v>Error?</v>
      </c>
    </row>
    <row r="4137" spans="1:4" x14ac:dyDescent="0.2">
      <c r="A4137" s="5">
        <v>4076</v>
      </c>
      <c r="B4137" s="138">
        <f>'Acct Summary 7-8'!D19</f>
        <v>661178</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129585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-164096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97129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4974892</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4974892</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6315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4981207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60812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60812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157941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157941</v>
      </c>
      <c r="C5326" s="2" t="s">
        <v>573</v>
      </c>
      <c r="D5326" s="2" t="str">
        <f t="shared" si="82"/>
        <v>Error?</v>
      </c>
    </row>
    <row r="5327" spans="1:5" x14ac:dyDescent="0.2">
      <c r="A5327" s="5">
        <v>5266</v>
      </c>
      <c r="B5327" s="138">
        <f>'Revenues 9-14'!C268</f>
        <v>5139148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2000000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2000000</v>
      </c>
      <c r="C5355" s="2" t="s">
        <v>573</v>
      </c>
      <c r="D5355" s="2" t="str">
        <f t="shared" si="82"/>
        <v>Error?</v>
      </c>
    </row>
    <row r="5356" spans="1:4" x14ac:dyDescent="0.2">
      <c r="A5356" s="5">
        <v>5295</v>
      </c>
      <c r="B5356" s="138">
        <f>'Revenues 9-14'!D109</f>
        <v>2000000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2000000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1237207</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1237207</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4783</v>
      </c>
      <c r="D6133" s="2" t="str">
        <f t="shared" si="94"/>
        <v>Error?</v>
      </c>
      <c r="E6133" s="2" t="s">
        <v>190</v>
      </c>
    </row>
    <row r="6134" spans="1:5" x14ac:dyDescent="0.2">
      <c r="A6134">
        <v>6073</v>
      </c>
      <c r="B6134" s="138">
        <f>'Assets-Liab 5-6'!D26</f>
        <v>11641</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338246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603228</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-1209237</v>
      </c>
      <c r="D6267" s="2" t="str">
        <f t="shared" si="96"/>
        <v>Error?</v>
      </c>
      <c r="E6267" s="2" t="s">
        <v>190</v>
      </c>
    </row>
    <row r="6268" spans="1:5" x14ac:dyDescent="0.2">
      <c r="A6268">
        <v>6207</v>
      </c>
      <c r="B6268" s="138">
        <f>'Acct Summary 7-8'!D82</f>
        <v>1338822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-129585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-2.942791088181254</v>
      </c>
      <c r="D6276" s="2" t="str">
        <f t="shared" si="97"/>
        <v>Error?</v>
      </c>
      <c r="E6276" s="2" t="s">
        <v>190</v>
      </c>
    </row>
    <row r="6277" spans="1:5" x14ac:dyDescent="0.2">
      <c r="A6277">
        <v>6216</v>
      </c>
      <c r="B6277" s="138">
        <f>'Acct Summary 7-8'!D83</f>
        <v>-2.3283415447704479</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f>'Acct Summary 7-8'!G83</f>
        <v>-0.65461516700680955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30943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30943</v>
      </c>
      <c r="D6940" s="2" t="str">
        <f t="shared" si="107"/>
        <v>Error?</v>
      </c>
    </row>
    <row r="6941" spans="1:4" x14ac:dyDescent="0.2">
      <c r="A6941">
        <v>6880</v>
      </c>
      <c r="B6941" s="138">
        <f>'Expenditures 15-22'!L52</f>
        <v>40000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Hope Wall Joint Agreement</v>
      </c>
      <c r="B7" s="2386"/>
      <c r="C7" s="2386"/>
      <c r="D7" s="2423"/>
      <c r="E7" s="2424">
        <f>COVER!A13</f>
        <v>31045129061</v>
      </c>
      <c r="F7" s="2425"/>
      <c r="G7" s="2392" t="str">
        <f>COVER!T23</f>
        <v>066-004207</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Crowe LLP</v>
      </c>
      <c r="H9" s="2399"/>
      <c r="I9" s="2399"/>
      <c r="J9" s="2399"/>
      <c r="K9" s="2399"/>
      <c r="L9" s="2400"/>
    </row>
    <row r="10" spans="1:29" ht="13.5" customHeight="1" x14ac:dyDescent="0.2">
      <c r="A10" s="2382" t="str">
        <f>COVER!A38</f>
        <v>Dr. Jeff Craig</v>
      </c>
      <c r="B10" s="2383"/>
      <c r="C10" s="2383"/>
      <c r="D10" s="2383"/>
      <c r="E10" s="2383"/>
      <c r="F10" s="2384"/>
      <c r="G10" s="2398" t="str">
        <f>COVER!T17</f>
        <v>One Mid America Plaza</v>
      </c>
      <c r="H10" s="2411"/>
      <c r="I10" s="2411"/>
      <c r="J10" s="2411"/>
      <c r="K10" s="2411"/>
      <c r="L10" s="2412"/>
    </row>
    <row r="11" spans="1:29" ht="13.5" customHeight="1" x14ac:dyDescent="0.2">
      <c r="A11" s="1184" t="s">
        <v>1519</v>
      </c>
      <c r="B11" s="1185"/>
      <c r="C11" s="1186"/>
      <c r="D11" s="1191"/>
      <c r="E11" s="1186"/>
      <c r="F11" s="1190"/>
      <c r="G11" s="2398" t="str">
        <f>COVER!T19</f>
        <v>Oak Brook</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christine.torres@crowe.com</v>
      </c>
      <c r="J13" s="2420"/>
      <c r="K13" s="2420"/>
      <c r="L13" s="2421"/>
    </row>
    <row r="14" spans="1:29" ht="13.5" customHeight="1" x14ac:dyDescent="0.2">
      <c r="A14" s="2398" t="str">
        <f>COVER!A19</f>
        <v>1877 Downers Place</v>
      </c>
      <c r="B14" s="2411"/>
      <c r="C14" s="2411"/>
      <c r="D14" s="2411"/>
      <c r="E14" s="2411"/>
      <c r="F14" s="2412"/>
      <c r="G14" s="1195" t="s">
        <v>1185</v>
      </c>
      <c r="H14" s="1193"/>
      <c r="I14" s="1193"/>
      <c r="J14" s="1193"/>
      <c r="K14" s="1193"/>
      <c r="L14" s="1194"/>
    </row>
    <row r="15" spans="1:29" ht="13.5" customHeight="1" x14ac:dyDescent="0.2">
      <c r="A15" s="2398" t="str">
        <f>COVER!A21</f>
        <v>Aurora</v>
      </c>
      <c r="B15" s="2411"/>
      <c r="C15" s="2411"/>
      <c r="D15" s="2411"/>
      <c r="E15" s="2411"/>
      <c r="F15" s="2412"/>
      <c r="G15" s="2408" t="str">
        <f>COVER!T15</f>
        <v>Christine Torres</v>
      </c>
      <c r="H15" s="2409"/>
      <c r="I15" s="2409"/>
      <c r="J15" s="2409"/>
      <c r="K15" s="2409"/>
      <c r="L15" s="2410"/>
    </row>
    <row r="16" spans="1:29" ht="12.2" customHeight="1" x14ac:dyDescent="0.2">
      <c r="A16" s="2388">
        <f>COVER!A25</f>
        <v>60506</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630-706-2074</v>
      </c>
      <c r="H18" s="2386"/>
      <c r="I18" s="2386"/>
      <c r="J18" s="2386"/>
      <c r="K18" s="2385" t="str">
        <f>COVER!X21</f>
        <v>630-574-1608</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Hope Wall Joint Agreement</v>
      </c>
      <c r="B1" s="2422"/>
      <c r="C1" s="2422"/>
      <c r="D1" s="2422"/>
    </row>
    <row r="2" spans="1:11" s="1212" customFormat="1" ht="12.75" x14ac:dyDescent="0.2">
      <c r="A2" s="2427">
        <f>'Single Audit Cover'!E7</f>
        <v>31045129061</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Hope Wall Joint Agreement</v>
      </c>
      <c r="B1" s="2430"/>
      <c r="C1" s="2430"/>
      <c r="D1" s="2430"/>
      <c r="E1" s="2430"/>
    </row>
    <row r="2" spans="1:5" x14ac:dyDescent="0.2">
      <c r="A2" s="2431">
        <f>'Single Audit Cover'!E7</f>
        <v>31045129061</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157941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157941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157941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157941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Hope Wall Joint Agreement</v>
      </c>
      <c r="C1" s="2434"/>
      <c r="D1" s="2434"/>
      <c r="E1" s="2434"/>
      <c r="F1" s="2434"/>
      <c r="G1" s="2434"/>
      <c r="H1" s="2434"/>
      <c r="I1" s="2434"/>
      <c r="J1" s="2434"/>
      <c r="K1" s="2434"/>
      <c r="L1" s="2434"/>
      <c r="M1" s="2434"/>
    </row>
    <row r="2" spans="2:14" ht="15" x14ac:dyDescent="0.2">
      <c r="B2" s="2435">
        <f>'Single Audit Cover'!E7</f>
        <v>31045129061</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Hope Wall Joint Agreement</v>
      </c>
      <c r="B1" s="2439"/>
      <c r="C1" s="2439"/>
      <c r="D1" s="2439"/>
      <c r="E1" s="2439"/>
      <c r="F1" s="2439"/>
    </row>
    <row r="2" spans="1:7" ht="13.5" customHeight="1" x14ac:dyDescent="0.2">
      <c r="A2" s="2435">
        <f>'Single Audit Cover'!E7</f>
        <v>31045129061</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E4" sqref="E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2069</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Hope Wall Joint Agreement</v>
      </c>
      <c r="C1" s="2455"/>
      <c r="D1" s="2455"/>
      <c r="E1" s="2455"/>
      <c r="F1" s="2455"/>
      <c r="G1" s="2455"/>
      <c r="H1" s="2455"/>
      <c r="I1" s="2455"/>
      <c r="J1" s="1406"/>
    </row>
    <row r="2" spans="2:10" s="317" customFormat="1" ht="12.75" customHeight="1" x14ac:dyDescent="0.2">
      <c r="B2" s="2456">
        <f>'Single Audit Cover'!E7</f>
        <v>31045129061</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Hope Wall Joint Agreement</v>
      </c>
      <c r="C1" s="2454"/>
      <c r="D1" s="2454"/>
      <c r="E1" s="2454"/>
      <c r="F1" s="2454"/>
      <c r="G1" s="2454"/>
      <c r="H1" s="2454"/>
      <c r="I1" s="2454"/>
      <c r="J1" s="2454"/>
      <c r="K1" s="2454"/>
      <c r="L1" s="1371"/>
      <c r="M1" s="1371"/>
    </row>
    <row r="2" spans="1:13" ht="12" customHeight="1" x14ac:dyDescent="0.2">
      <c r="B2" s="2456">
        <f>'Single Audit Cover'!E7</f>
        <v>31045129061</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Hope Wall Joint Agreement</v>
      </c>
      <c r="C1" s="2481"/>
      <c r="D1" s="2481"/>
      <c r="E1" s="2481"/>
      <c r="F1" s="2481"/>
      <c r="G1" s="2481"/>
      <c r="H1" s="2481"/>
      <c r="I1" s="2481"/>
      <c r="J1" s="2481"/>
      <c r="K1" s="2481"/>
      <c r="L1" s="1449"/>
    </row>
    <row r="2" spans="1:12" ht="12.75" customHeight="1" x14ac:dyDescent="0.2">
      <c r="B2" s="2482">
        <f>'Single Audit Cover'!E7</f>
        <v>31045129061</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Hope Wall Joint Agreement</v>
      </c>
      <c r="C1" s="2454"/>
      <c r="D1" s="2454"/>
      <c r="E1" s="1469"/>
    </row>
    <row r="2" spans="2:5" s="1279" customFormat="1" ht="12.75" customHeight="1" x14ac:dyDescent="0.2">
      <c r="B2" s="2456">
        <f>'Single Audit Cover'!E7</f>
        <v>31045129061</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F42" sqref="F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7139148</v>
      </c>
      <c r="E16" s="356"/>
      <c r="F16" s="1733">
        <f>SUM('Acct Summary 7-8'!C17,'Acct Summary 7-8'!D17,'Acct Summary 7-8'!F17)</f>
        <v>7009563</v>
      </c>
      <c r="G16" s="356"/>
      <c r="H16" s="1733">
        <f>SUM(D16-F16)</f>
        <v>129585</v>
      </c>
      <c r="I16" s="222"/>
      <c r="J16" s="1733">
        <f>SUM('Acct Summary 7-8'!C81,'Acct Summary 7-8'!D81,'Acct Summary 7-8'!F81,'Acct Summary 7-8'!I81)</f>
        <v>-164096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Hope Wall Joint Agreement</v>
      </c>
      <c r="E7" s="391"/>
      <c r="G7" s="252"/>
      <c r="H7" s="387"/>
      <c r="I7" s="387"/>
      <c r="J7" s="387"/>
      <c r="K7" s="387"/>
      <c r="L7" s="329"/>
      <c r="M7" s="329"/>
      <c r="N7" s="329"/>
      <c r="O7" s="329"/>
      <c r="P7" s="329"/>
    </row>
    <row r="8" spans="1:18" ht="12.75" x14ac:dyDescent="0.2">
      <c r="A8" s="329"/>
      <c r="B8" s="329"/>
      <c r="C8" s="389" t="s">
        <v>1125</v>
      </c>
      <c r="D8" s="392">
        <f>COVER!A13</f>
        <v>31045129061</v>
      </c>
      <c r="E8" s="393"/>
      <c r="G8" s="329"/>
      <c r="H8" s="329"/>
      <c r="I8" s="329"/>
      <c r="J8" s="329"/>
      <c r="K8" s="329"/>
      <c r="L8" s="329"/>
      <c r="M8" s="329"/>
      <c r="N8" s="329"/>
      <c r="O8" s="329"/>
      <c r="P8" s="329"/>
    </row>
    <row r="9" spans="1:18" ht="12.75" x14ac:dyDescent="0.2">
      <c r="A9" s="329"/>
      <c r="B9" s="329"/>
      <c r="C9" s="389" t="s">
        <v>713</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f>IF(K12&gt;0.24999,"4",IF(K12&gt;0.09999,"3",IF(K12&gt;=0,"2",1)))</f>
        <v>1</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-164096</v>
      </c>
      <c r="I12" s="404"/>
      <c r="J12" s="404"/>
      <c r="K12" s="405">
        <f>TRUNC((H12/H13*100000),5)/100000</f>
        <v>-2.2985375800000003E-2</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7139148</v>
      </c>
      <c r="I13" s="404"/>
      <c r="J13" s="404"/>
      <c r="K13" s="410"/>
      <c r="L13" s="218"/>
      <c r="M13" s="360" t="s">
        <v>1145</v>
      </c>
      <c r="N13" s="360"/>
      <c r="O13" s="411">
        <f>(O11*O12)</f>
        <v>0.35</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7009563</v>
      </c>
      <c r="I17" s="404"/>
      <c r="J17" s="416"/>
      <c r="K17" s="405">
        <f>TRUNC((H17/H18*100000),5)/100000</f>
        <v>0.9818486743</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7139148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987590</v>
      </c>
      <c r="I24" s="422"/>
      <c r="J24" s="422"/>
      <c r="K24" s="423">
        <f>TRUNC(((H24/H25*100000)/100000),2)</f>
        <v>50.72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19471.008330000001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D40" sqref="D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c r="D4" s="466"/>
      <c r="E4" s="466"/>
      <c r="F4" s="466"/>
      <c r="G4" s="466"/>
      <c r="H4" s="466"/>
      <c r="I4" s="466"/>
      <c r="J4" s="467"/>
      <c r="K4" s="466"/>
      <c r="L4" s="466"/>
      <c r="M4" s="468"/>
      <c r="N4" s="469"/>
    </row>
    <row r="5" spans="1:14" x14ac:dyDescent="0.2">
      <c r="A5" s="463" t="s">
        <v>992</v>
      </c>
      <c r="B5" s="470">
        <v>120</v>
      </c>
      <c r="C5" s="465">
        <v>313753</v>
      </c>
      <c r="D5" s="466">
        <v>673837</v>
      </c>
      <c r="E5" s="466"/>
      <c r="F5" s="466"/>
      <c r="G5" s="466">
        <v>197956</v>
      </c>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1237207</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1550960</v>
      </c>
      <c r="D13" s="1737">
        <f t="shared" ref="D13:L13" si="0">SUM(D4:D12)</f>
        <v>673837</v>
      </c>
      <c r="E13" s="1737">
        <f t="shared" si="0"/>
        <v>0</v>
      </c>
      <c r="F13" s="1737">
        <f t="shared" si="0"/>
        <v>0</v>
      </c>
      <c r="G13" s="1737">
        <f t="shared" si="0"/>
        <v>197956</v>
      </c>
      <c r="H13" s="1737">
        <f t="shared" si="0"/>
        <v>0</v>
      </c>
      <c r="I13" s="1737">
        <f t="shared" si="0"/>
        <v>0</v>
      </c>
      <c r="J13" s="1737">
        <f t="shared" si="0"/>
        <v>0</v>
      </c>
      <c r="K13" s="1737">
        <f t="shared" si="0"/>
        <v>0</v>
      </c>
      <c r="L13" s="1737">
        <f t="shared" si="0"/>
        <v>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v>1237207</v>
      </c>
      <c r="E25" s="478"/>
      <c r="F25" s="478"/>
      <c r="G25" s="478"/>
      <c r="H25" s="479"/>
      <c r="I25" s="468"/>
      <c r="J25" s="478"/>
      <c r="K25" s="478"/>
      <c r="L25" s="468"/>
      <c r="M25" s="468"/>
      <c r="N25" s="468"/>
    </row>
    <row r="26" spans="1:14" x14ac:dyDescent="0.2">
      <c r="A26" s="473" t="s">
        <v>646</v>
      </c>
      <c r="B26" s="470">
        <v>420</v>
      </c>
      <c r="C26" s="467">
        <v>4783</v>
      </c>
      <c r="D26" s="467">
        <v>11641</v>
      </c>
      <c r="E26" s="467"/>
      <c r="F26" s="467"/>
      <c r="G26" s="467"/>
      <c r="H26" s="467"/>
      <c r="I26" s="467"/>
      <c r="J26" s="474"/>
      <c r="K26" s="467"/>
      <c r="L26" s="468"/>
      <c r="M26" s="468"/>
      <c r="N26" s="468"/>
    </row>
    <row r="27" spans="1:14" ht="13.5" customHeight="1" x14ac:dyDescent="0.2">
      <c r="A27" s="473" t="s">
        <v>647</v>
      </c>
      <c r="B27" s="470">
        <v>430</v>
      </c>
      <c r="C27" s="467">
        <f>22248+315998</f>
        <v>338246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603228</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193788</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1140045</v>
      </c>
      <c r="D34" s="1740">
        <f t="shared" ref="D34:K34" si="1">SUM(D25:D33)</f>
        <v>1248848</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410915</v>
      </c>
      <c r="D39" s="466">
        <v>-575011</v>
      </c>
      <c r="E39" s="466"/>
      <c r="F39" s="466"/>
      <c r="G39" s="466">
        <v>197956</v>
      </c>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1550960</v>
      </c>
      <c r="D41" s="1688">
        <f t="shared" ref="D41:L41" si="2">SUM(D34,D37,D38:D39)</f>
        <v>673837</v>
      </c>
      <c r="E41" s="1688">
        <f t="shared" si="2"/>
        <v>0</v>
      </c>
      <c r="F41" s="1688">
        <f t="shared" si="2"/>
        <v>0</v>
      </c>
      <c r="G41" s="1688">
        <f t="shared" si="2"/>
        <v>197956</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88" sqref="C8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4981207</v>
      </c>
      <c r="D4" s="1742">
        <f>'Revenues 9-14'!D109</f>
        <v>2000000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0</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157941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5139148</v>
      </c>
      <c r="D8" s="1688">
        <f t="shared" ref="D8:K8" si="0">SUM(D4:D7)</f>
        <v>2000000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c r="D9" s="516"/>
      <c r="E9" s="481"/>
      <c r="F9" s="481"/>
      <c r="G9" s="517"/>
      <c r="H9" s="481"/>
      <c r="I9" s="509" t="s">
        <v>1169</v>
      </c>
      <c r="J9" s="478"/>
      <c r="K9" s="481"/>
      <c r="L9" s="347"/>
    </row>
    <row r="10" spans="1:13" s="519" customFormat="1" ht="13.5" thickBot="1" x14ac:dyDescent="0.25">
      <c r="A10" s="1736" t="s">
        <v>1173</v>
      </c>
      <c r="B10" s="1709"/>
      <c r="C10" s="1688">
        <f>SUM(C8:C9)</f>
        <v>5139148</v>
      </c>
      <c r="D10" s="1688">
        <f t="shared" ref="D10:K10" si="1">SUM(D8:D9)</f>
        <v>2000000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4547910</v>
      </c>
      <c r="D12" s="520" t="s">
        <v>1169</v>
      </c>
      <c r="E12" s="468" t="s">
        <v>1169</v>
      </c>
      <c r="F12" s="468" t="s">
        <v>1169</v>
      </c>
      <c r="G12" s="1742">
        <f>'Expenditures 15-22'!K229</f>
        <v>116946</v>
      </c>
      <c r="H12" s="521"/>
      <c r="I12" s="468" t="s">
        <v>1169</v>
      </c>
      <c r="J12" s="468" t="s">
        <v>1169</v>
      </c>
      <c r="K12" s="521" t="s">
        <v>1169</v>
      </c>
      <c r="L12" s="347"/>
    </row>
    <row r="13" spans="1:13" ht="15.75" customHeight="1" x14ac:dyDescent="0.2">
      <c r="A13" s="1576" t="s">
        <v>457</v>
      </c>
      <c r="B13" s="1578">
        <v>2000</v>
      </c>
      <c r="C13" s="1743">
        <f>'Expenditures 15-22'!K74</f>
        <v>1800475</v>
      </c>
      <c r="D13" s="1743">
        <f>'Expenditures 15-22'!K129</f>
        <v>661178</v>
      </c>
      <c r="E13" s="469" t="s">
        <v>1169</v>
      </c>
      <c r="F13" s="1743">
        <f>'Expenditures 15-22'!K184</f>
        <v>0</v>
      </c>
      <c r="G13" s="1743">
        <f>'Expenditures 15-22'!K279</f>
        <v>12639</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6348385</v>
      </c>
      <c r="D17" s="1688">
        <f t="shared" si="2"/>
        <v>661178</v>
      </c>
      <c r="E17" s="1688">
        <f t="shared" si="2"/>
        <v>0</v>
      </c>
      <c r="F17" s="1688">
        <f t="shared" si="2"/>
        <v>0</v>
      </c>
      <c r="G17" s="1688">
        <f t="shared" si="2"/>
        <v>129585</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6348385</v>
      </c>
      <c r="D19" s="1688">
        <f t="shared" si="4"/>
        <v>661178</v>
      </c>
      <c r="E19" s="1688">
        <f t="shared" si="4"/>
        <v>0</v>
      </c>
      <c r="F19" s="1688">
        <f t="shared" si="4"/>
        <v>0</v>
      </c>
      <c r="G19" s="1688">
        <f t="shared" si="4"/>
        <v>129585</v>
      </c>
      <c r="H19" s="1688">
        <f t="shared" si="4"/>
        <v>0</v>
      </c>
      <c r="I19" s="468"/>
      <c r="J19" s="1688">
        <f>SUM(J17:J18)</f>
        <v>0</v>
      </c>
      <c r="K19" s="1688">
        <f>SUM(K17:K18)</f>
        <v>0</v>
      </c>
      <c r="L19" s="347"/>
    </row>
    <row r="20" spans="1:12" ht="16.5" thickTop="1" thickBot="1" x14ac:dyDescent="0.25">
      <c r="A20" s="2127" t="s">
        <v>1655</v>
      </c>
      <c r="B20" s="2128"/>
      <c r="C20" s="1746">
        <f>C8-C17</f>
        <v>-1209237</v>
      </c>
      <c r="D20" s="1746">
        <f t="shared" ref="D20:K20" si="5">D8-D17</f>
        <v>1338822</v>
      </c>
      <c r="E20" s="1746">
        <f t="shared" si="5"/>
        <v>0</v>
      </c>
      <c r="F20" s="1746">
        <f t="shared" si="5"/>
        <v>0</v>
      </c>
      <c r="G20" s="1746">
        <f t="shared" si="5"/>
        <v>-129585</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-1209237</v>
      </c>
      <c r="D78" s="1702">
        <f t="shared" si="9"/>
        <v>1338822</v>
      </c>
      <c r="E78" s="1702">
        <f t="shared" si="9"/>
        <v>0</v>
      </c>
      <c r="F78" s="1702">
        <f t="shared" si="9"/>
        <v>0</v>
      </c>
      <c r="G78" s="1702">
        <f t="shared" si="9"/>
        <v>-129585</v>
      </c>
      <c r="H78" s="1702">
        <f t="shared" si="9"/>
        <v>0</v>
      </c>
      <c r="I78" s="1702">
        <f t="shared" si="9"/>
        <v>0</v>
      </c>
      <c r="J78" s="1702">
        <f t="shared" si="9"/>
        <v>0</v>
      </c>
      <c r="K78" s="1702">
        <f t="shared" si="9"/>
        <v>0</v>
      </c>
      <c r="L78" s="533"/>
    </row>
    <row r="79" spans="1:12" ht="13.5" thickTop="1" x14ac:dyDescent="0.2">
      <c r="A79" s="1494" t="s">
        <v>1947</v>
      </c>
      <c r="B79" s="534"/>
      <c r="C79" s="478">
        <v>1620152</v>
      </c>
      <c r="D79" s="535">
        <v>-1913833</v>
      </c>
      <c r="E79" s="535"/>
      <c r="F79" s="535"/>
      <c r="G79" s="535">
        <v>327541</v>
      </c>
      <c r="H79" s="535"/>
      <c r="I79" s="535"/>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410915</v>
      </c>
      <c r="D81" s="1688">
        <f>SUM(D78:D80)</f>
        <v>-575011</v>
      </c>
      <c r="E81" s="1688">
        <f t="shared" ref="E81:K81" si="10">SUM(E78:E80)</f>
        <v>0</v>
      </c>
      <c r="F81" s="1688">
        <f t="shared" si="10"/>
        <v>0</v>
      </c>
      <c r="G81" s="1688">
        <f t="shared" si="10"/>
        <v>197956</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-1209237</v>
      </c>
      <c r="D82" s="538">
        <f t="shared" ref="D82:K82" si="11">(D81-D79)</f>
        <v>1338822</v>
      </c>
      <c r="E82" s="538">
        <f t="shared" si="11"/>
        <v>0</v>
      </c>
      <c r="F82" s="538">
        <f t="shared" si="11"/>
        <v>0</v>
      </c>
      <c r="G82" s="538">
        <f t="shared" si="11"/>
        <v>-129585</v>
      </c>
      <c r="H82" s="538">
        <f t="shared" si="11"/>
        <v>0</v>
      </c>
      <c r="I82" s="538">
        <f t="shared" si="11"/>
        <v>0</v>
      </c>
      <c r="J82" s="538">
        <f t="shared" si="11"/>
        <v>0</v>
      </c>
      <c r="K82" s="538">
        <f t="shared" si="11"/>
        <v>0</v>
      </c>
    </row>
    <row r="83" spans="1:12" ht="14.25" hidden="1" thickTop="1" thickBot="1" x14ac:dyDescent="0.25">
      <c r="A83" s="539" t="s">
        <v>344</v>
      </c>
      <c r="B83" s="464"/>
      <c r="C83" s="540">
        <f>C82/C81</f>
        <v>-2.942791088181254</v>
      </c>
      <c r="D83" s="540">
        <f t="shared" ref="D83:K83" si="12">D82/D81</f>
        <v>-2.3283415447704479</v>
      </c>
      <c r="E83" s="540" t="e">
        <f t="shared" si="12"/>
        <v>#DIV/0!</v>
      </c>
      <c r="F83" s="540" t="e">
        <f t="shared" si="12"/>
        <v>#DIV/0!</v>
      </c>
      <c r="G83" s="540">
        <f t="shared" si="12"/>
        <v>-0.65461516700680955</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4974892</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4974892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6315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6315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v>2000000</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2000000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4981207</v>
      </c>
      <c r="D109" s="1715">
        <f t="shared" si="4"/>
        <v>2000000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0</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60812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60812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97129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157941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157941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5139148</v>
      </c>
      <c r="D268" s="1715">
        <f t="shared" si="12"/>
        <v>2000000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P267" sqref="P2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3392404</v>
      </c>
      <c r="D8" s="466">
        <v>990986</v>
      </c>
      <c r="E8" s="466">
        <v>46693</v>
      </c>
      <c r="F8" s="466">
        <v>44794</v>
      </c>
      <c r="G8" s="466">
        <v>8122</v>
      </c>
      <c r="H8" s="466"/>
      <c r="I8" s="467"/>
      <c r="J8" s="467"/>
      <c r="K8" s="1671">
        <f t="shared" si="0"/>
        <v>4482999</v>
      </c>
      <c r="L8" s="466">
        <v>4696478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23924</v>
      </c>
      <c r="D13" s="466">
        <v>12197</v>
      </c>
      <c r="E13" s="466"/>
      <c r="F13" s="466"/>
      <c r="G13" s="466"/>
      <c r="H13" s="466"/>
      <c r="I13" s="467"/>
      <c r="J13" s="467"/>
      <c r="K13" s="1671">
        <f t="shared" si="0"/>
        <v>36121</v>
      </c>
      <c r="L13" s="466">
        <v>37650</v>
      </c>
    </row>
    <row r="14" spans="1:14" x14ac:dyDescent="0.2">
      <c r="A14" s="1504" t="s">
        <v>963</v>
      </c>
      <c r="B14" s="614">
        <v>1500</v>
      </c>
      <c r="C14" s="466">
        <v>25500</v>
      </c>
      <c r="D14" s="466">
        <v>3290</v>
      </c>
      <c r="E14" s="466"/>
      <c r="F14" s="466"/>
      <c r="G14" s="466"/>
      <c r="H14" s="466"/>
      <c r="I14" s="467"/>
      <c r="J14" s="467"/>
      <c r="K14" s="1671">
        <f t="shared" si="0"/>
        <v>28790</v>
      </c>
      <c r="L14" s="466">
        <v>30400</v>
      </c>
    </row>
    <row r="15" spans="1:14" x14ac:dyDescent="0.2">
      <c r="A15" s="1504" t="s">
        <v>964</v>
      </c>
      <c r="B15" s="614">
        <v>1600</v>
      </c>
      <c r="C15" s="466"/>
      <c r="D15" s="466"/>
      <c r="E15" s="466"/>
      <c r="F15" s="466"/>
      <c r="G15" s="466"/>
      <c r="H15" s="466"/>
      <c r="I15" s="467"/>
      <c r="J15" s="467"/>
      <c r="K15" s="1671">
        <f t="shared" si="0"/>
        <v>0</v>
      </c>
      <c r="L15" s="466">
        <v>68000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3441828</v>
      </c>
      <c r="D33" s="1670">
        <f t="shared" ref="D33:L33" si="1">SUM(D5:D32)</f>
        <v>1006473</v>
      </c>
      <c r="E33" s="1670">
        <f t="shared" si="1"/>
        <v>46693</v>
      </c>
      <c r="F33" s="1670">
        <f t="shared" si="1"/>
        <v>44794</v>
      </c>
      <c r="G33" s="1670">
        <f t="shared" si="1"/>
        <v>8122</v>
      </c>
      <c r="H33" s="1670">
        <f t="shared" si="1"/>
        <v>0</v>
      </c>
      <c r="I33" s="1670">
        <f t="shared" si="1"/>
        <v>0</v>
      </c>
      <c r="J33" s="1670">
        <f t="shared" si="1"/>
        <v>0</v>
      </c>
      <c r="K33" s="1670">
        <f t="shared" si="1"/>
        <v>4547910</v>
      </c>
      <c r="L33" s="1670">
        <f t="shared" si="1"/>
        <v>4832528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176556</v>
      </c>
      <c r="D36" s="481">
        <v>43280</v>
      </c>
      <c r="E36" s="481"/>
      <c r="F36" s="481"/>
      <c r="G36" s="481"/>
      <c r="H36" s="481"/>
      <c r="I36" s="467"/>
      <c r="J36" s="467"/>
      <c r="K36" s="1671">
        <f t="shared" ref="K36:K41" si="2">SUM(C36:J36)</f>
        <v>219836</v>
      </c>
      <c r="L36" s="466">
        <v>215850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110534</v>
      </c>
      <c r="D38" s="466">
        <v>22980</v>
      </c>
      <c r="E38" s="466">
        <v>18277</v>
      </c>
      <c r="F38" s="466"/>
      <c r="G38" s="466"/>
      <c r="H38" s="466"/>
      <c r="I38" s="467"/>
      <c r="J38" s="467"/>
      <c r="K38" s="1671">
        <f t="shared" si="2"/>
        <v>151791</v>
      </c>
      <c r="L38" s="466">
        <v>158350</v>
      </c>
    </row>
    <row r="39" spans="1:14" x14ac:dyDescent="0.2">
      <c r="A39" s="1504" t="s">
        <v>199</v>
      </c>
      <c r="B39" s="614">
        <v>2140</v>
      </c>
      <c r="C39" s="466">
        <v>73827</v>
      </c>
      <c r="D39" s="466">
        <v>17050</v>
      </c>
      <c r="E39" s="466">
        <v>12880</v>
      </c>
      <c r="F39" s="466"/>
      <c r="G39" s="466"/>
      <c r="H39" s="466"/>
      <c r="I39" s="467"/>
      <c r="J39" s="467"/>
      <c r="K39" s="1671">
        <f t="shared" si="2"/>
        <v>103757</v>
      </c>
      <c r="L39" s="466">
        <v>186500</v>
      </c>
    </row>
    <row r="40" spans="1:14" x14ac:dyDescent="0.2">
      <c r="A40" s="1504" t="s">
        <v>200</v>
      </c>
      <c r="B40" s="614">
        <v>2150</v>
      </c>
      <c r="C40" s="466">
        <v>351697</v>
      </c>
      <c r="D40" s="466">
        <v>84424</v>
      </c>
      <c r="E40" s="466"/>
      <c r="F40" s="466"/>
      <c r="G40" s="466"/>
      <c r="H40" s="466"/>
      <c r="I40" s="467"/>
      <c r="J40" s="467"/>
      <c r="K40" s="1671">
        <f t="shared" si="2"/>
        <v>436121</v>
      </c>
      <c r="L40" s="466">
        <v>496900</v>
      </c>
    </row>
    <row r="41" spans="1:14" x14ac:dyDescent="0.2">
      <c r="A41" s="1504" t="s">
        <v>1669</v>
      </c>
      <c r="B41" s="614">
        <v>2190</v>
      </c>
      <c r="C41" s="466"/>
      <c r="D41" s="466"/>
      <c r="E41" s="466">
        <v>829139</v>
      </c>
      <c r="F41" s="466"/>
      <c r="G41" s="466"/>
      <c r="H41" s="466"/>
      <c r="I41" s="467"/>
      <c r="J41" s="467"/>
      <c r="K41" s="1671">
        <f t="shared" si="2"/>
        <v>829139</v>
      </c>
      <c r="L41" s="466">
        <v>875000</v>
      </c>
    </row>
    <row r="42" spans="1:14" ht="12.75" customHeight="1" thickBot="1" x14ac:dyDescent="0.25">
      <c r="A42" s="1668" t="s">
        <v>560</v>
      </c>
      <c r="B42" s="1669" t="s">
        <v>716</v>
      </c>
      <c r="C42" s="1670">
        <f>SUM(C36:C41)</f>
        <v>712614</v>
      </c>
      <c r="D42" s="1670">
        <f t="shared" ref="D42:L42" si="3">SUM(D36:D41)</f>
        <v>167734</v>
      </c>
      <c r="E42" s="1670">
        <f t="shared" si="3"/>
        <v>860296</v>
      </c>
      <c r="F42" s="1670">
        <f t="shared" si="3"/>
        <v>0</v>
      </c>
      <c r="G42" s="1670">
        <f t="shared" si="3"/>
        <v>0</v>
      </c>
      <c r="H42" s="1670">
        <f t="shared" si="3"/>
        <v>0</v>
      </c>
      <c r="I42" s="1670">
        <f t="shared" si="3"/>
        <v>0</v>
      </c>
      <c r="J42" s="1670">
        <f t="shared" si="3"/>
        <v>0</v>
      </c>
      <c r="K42" s="1670">
        <f t="shared" si="3"/>
        <v>1740644</v>
      </c>
      <c r="L42" s="1670">
        <f t="shared" si="3"/>
        <v>1932600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850</v>
      </c>
      <c r="F44" s="481">
        <v>2154</v>
      </c>
      <c r="G44" s="481"/>
      <c r="H44" s="481"/>
      <c r="I44" s="467"/>
      <c r="J44" s="467"/>
      <c r="K44" s="1672">
        <f>SUM(C44:J44)</f>
        <v>3004</v>
      </c>
      <c r="L44" s="481">
        <v>17600</v>
      </c>
    </row>
    <row r="45" spans="1:14" x14ac:dyDescent="0.2">
      <c r="A45" s="1504" t="s">
        <v>815</v>
      </c>
      <c r="B45" s="614">
        <v>2220</v>
      </c>
      <c r="C45" s="466"/>
      <c r="D45" s="466"/>
      <c r="E45" s="466"/>
      <c r="F45" s="466">
        <v>286</v>
      </c>
      <c r="G45" s="466"/>
      <c r="H45" s="466"/>
      <c r="I45" s="467"/>
      <c r="J45" s="467"/>
      <c r="K45" s="1672">
        <f>SUM(C45:J45)</f>
        <v>286</v>
      </c>
      <c r="L45" s="466">
        <v>1500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850</v>
      </c>
      <c r="F47" s="1670">
        <f t="shared" si="4"/>
        <v>2440</v>
      </c>
      <c r="G47" s="1670">
        <f t="shared" si="4"/>
        <v>0</v>
      </c>
      <c r="H47" s="1670">
        <f t="shared" si="4"/>
        <v>0</v>
      </c>
      <c r="I47" s="1670">
        <f t="shared" si="4"/>
        <v>0</v>
      </c>
      <c r="J47" s="1670">
        <f t="shared" si="4"/>
        <v>0</v>
      </c>
      <c r="K47" s="1670">
        <f t="shared" si="4"/>
        <v>3290</v>
      </c>
      <c r="L47" s="1670">
        <f>SUM(L44:L46)</f>
        <v>19100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30943</v>
      </c>
      <c r="F52" s="474"/>
      <c r="G52" s="474"/>
      <c r="H52" s="474"/>
      <c r="I52" s="474"/>
      <c r="J52" s="474"/>
      <c r="K52" s="1672">
        <f>SUM(C52:J52)</f>
        <v>30943</v>
      </c>
      <c r="L52" s="474">
        <v>40000</v>
      </c>
    </row>
    <row r="53" spans="1:14" ht="12.75" customHeight="1" thickBot="1" x14ac:dyDescent="0.25">
      <c r="A53" s="1668" t="s">
        <v>717</v>
      </c>
      <c r="B53" s="1669" t="s">
        <v>33</v>
      </c>
      <c r="C53" s="1670">
        <f>SUM(C49:C52)</f>
        <v>0</v>
      </c>
      <c r="D53" s="1670">
        <f t="shared" ref="D53:L53" si="5">SUM(D49:D52)</f>
        <v>0</v>
      </c>
      <c r="E53" s="1670">
        <f t="shared" si="5"/>
        <v>30943</v>
      </c>
      <c r="F53" s="1670">
        <f t="shared" si="5"/>
        <v>0</v>
      </c>
      <c r="G53" s="1670">
        <f t="shared" si="5"/>
        <v>0</v>
      </c>
      <c r="H53" s="1670">
        <f t="shared" si="5"/>
        <v>0</v>
      </c>
      <c r="I53" s="1670">
        <f t="shared" si="5"/>
        <v>0</v>
      </c>
      <c r="J53" s="1670">
        <f t="shared" si="5"/>
        <v>0</v>
      </c>
      <c r="K53" s="1670">
        <f t="shared" si="5"/>
        <v>30943</v>
      </c>
      <c r="L53" s="1670">
        <f t="shared" si="5"/>
        <v>40000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v>465</v>
      </c>
      <c r="F55" s="481">
        <v>714</v>
      </c>
      <c r="G55" s="481"/>
      <c r="H55" s="481"/>
      <c r="I55" s="467"/>
      <c r="J55" s="467"/>
      <c r="K55" s="1672">
        <f>SUM(C55:J55)</f>
        <v>1179</v>
      </c>
      <c r="L55" s="481">
        <v>6000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465</v>
      </c>
      <c r="F57" s="1674">
        <f t="shared" si="6"/>
        <v>714</v>
      </c>
      <c r="G57" s="1674">
        <f t="shared" si="6"/>
        <v>0</v>
      </c>
      <c r="H57" s="1674">
        <f t="shared" si="6"/>
        <v>0</v>
      </c>
      <c r="I57" s="1674">
        <f t="shared" si="6"/>
        <v>0</v>
      </c>
      <c r="J57" s="1674">
        <f t="shared" si="6"/>
        <v>0</v>
      </c>
      <c r="K57" s="1674">
        <f t="shared" si="6"/>
        <v>1179</v>
      </c>
      <c r="L57" s="1670">
        <f>SUM(L55:L56)</f>
        <v>6000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13344</v>
      </c>
      <c r="F60" s="466"/>
      <c r="G60" s="466"/>
      <c r="H60" s="466"/>
      <c r="I60" s="467"/>
      <c r="J60" s="467"/>
      <c r="K60" s="1672">
        <f t="shared" si="7"/>
        <v>13344</v>
      </c>
      <c r="L60" s="466">
        <v>30000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503</v>
      </c>
      <c r="F63" s="466">
        <v>1954</v>
      </c>
      <c r="G63" s="466"/>
      <c r="H63" s="466"/>
      <c r="I63" s="467"/>
      <c r="J63" s="467"/>
      <c r="K63" s="1672">
        <f t="shared" si="7"/>
        <v>2457</v>
      </c>
      <c r="L63" s="466">
        <v>14250</v>
      </c>
    </row>
    <row r="64" spans="1:14" s="609" customFormat="1" x14ac:dyDescent="0.2">
      <c r="A64" s="1509" t="s">
        <v>101</v>
      </c>
      <c r="B64" s="630">
        <v>2570</v>
      </c>
      <c r="C64" s="481"/>
      <c r="D64" s="481"/>
      <c r="E64" s="481"/>
      <c r="F64" s="481"/>
      <c r="G64" s="481"/>
      <c r="H64" s="481"/>
      <c r="I64" s="467"/>
      <c r="J64" s="467"/>
      <c r="K64" s="1672">
        <f t="shared" si="7"/>
        <v>0</v>
      </c>
      <c r="L64" s="481">
        <v>1400</v>
      </c>
    </row>
    <row r="65" spans="1:14" s="343" customFormat="1" ht="12.75" customHeight="1" thickBot="1" x14ac:dyDescent="0.25">
      <c r="A65" s="1668" t="s">
        <v>719</v>
      </c>
      <c r="B65" s="1669" t="s">
        <v>35</v>
      </c>
      <c r="C65" s="1670">
        <f>SUM(C59:C64)</f>
        <v>0</v>
      </c>
      <c r="D65" s="1670">
        <f t="shared" ref="D65:L65" si="8">SUM(D59:D64)</f>
        <v>0</v>
      </c>
      <c r="E65" s="1670">
        <f t="shared" si="8"/>
        <v>13847</v>
      </c>
      <c r="F65" s="1670">
        <f t="shared" si="8"/>
        <v>1954</v>
      </c>
      <c r="G65" s="1670">
        <f t="shared" si="8"/>
        <v>0</v>
      </c>
      <c r="H65" s="1670">
        <f t="shared" si="8"/>
        <v>0</v>
      </c>
      <c r="I65" s="1670">
        <f t="shared" si="8"/>
        <v>0</v>
      </c>
      <c r="J65" s="1670">
        <f t="shared" si="8"/>
        <v>0</v>
      </c>
      <c r="K65" s="1670">
        <f t="shared" si="8"/>
        <v>15801</v>
      </c>
      <c r="L65" s="1670">
        <f t="shared" si="8"/>
        <v>45650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v>3899</v>
      </c>
      <c r="E70" s="466"/>
      <c r="F70" s="466"/>
      <c r="G70" s="466"/>
      <c r="H70" s="466"/>
      <c r="I70" s="467"/>
      <c r="J70" s="467"/>
      <c r="K70" s="1672">
        <f>SUM(C70:J70)</f>
        <v>3899</v>
      </c>
      <c r="L70" s="466">
        <v>4000</v>
      </c>
      <c r="M70" s="609"/>
      <c r="N70" s="609"/>
    </row>
    <row r="71" spans="1:14" s="343" customFormat="1" x14ac:dyDescent="0.2">
      <c r="A71" s="1504" t="s">
        <v>404</v>
      </c>
      <c r="B71" s="614">
        <v>2660</v>
      </c>
      <c r="C71" s="466"/>
      <c r="D71" s="466"/>
      <c r="E71" s="466"/>
      <c r="F71" s="466">
        <v>4719</v>
      </c>
      <c r="G71" s="466"/>
      <c r="H71" s="466"/>
      <c r="I71" s="467"/>
      <c r="J71" s="467"/>
      <c r="K71" s="1672">
        <f>SUM(C71:J71)</f>
        <v>4719</v>
      </c>
      <c r="L71" s="466">
        <v>30000</v>
      </c>
      <c r="M71" s="609"/>
      <c r="N71" s="609"/>
    </row>
    <row r="72" spans="1:14" s="343" customFormat="1" ht="12.75" customHeight="1" thickBot="1" x14ac:dyDescent="0.25">
      <c r="A72" s="1668" t="s">
        <v>37</v>
      </c>
      <c r="B72" s="1675" t="s">
        <v>36</v>
      </c>
      <c r="C72" s="1670">
        <f>SUM(C67:C71)</f>
        <v>0</v>
      </c>
      <c r="D72" s="1670">
        <f t="shared" ref="D72:K72" si="9">SUM(D67:D71)</f>
        <v>3899</v>
      </c>
      <c r="E72" s="1670">
        <f t="shared" si="9"/>
        <v>0</v>
      </c>
      <c r="F72" s="1670">
        <f t="shared" si="9"/>
        <v>4719</v>
      </c>
      <c r="G72" s="1670">
        <f t="shared" si="9"/>
        <v>0</v>
      </c>
      <c r="H72" s="1670">
        <f t="shared" si="9"/>
        <v>0</v>
      </c>
      <c r="I72" s="1670">
        <f t="shared" si="9"/>
        <v>0</v>
      </c>
      <c r="J72" s="1670">
        <f t="shared" si="9"/>
        <v>0</v>
      </c>
      <c r="K72" s="1670">
        <f t="shared" si="9"/>
        <v>8618</v>
      </c>
      <c r="L72" s="1670">
        <f>SUM(L67:L71)</f>
        <v>34000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712614</v>
      </c>
      <c r="D74" s="1677">
        <f t="shared" ref="D74:K74" si="10">SUM(D42,D47,D53,D57,D65,D72,D73)</f>
        <v>171633</v>
      </c>
      <c r="E74" s="1677">
        <f t="shared" si="10"/>
        <v>906401</v>
      </c>
      <c r="F74" s="1677">
        <f t="shared" si="10"/>
        <v>9827</v>
      </c>
      <c r="G74" s="1677">
        <f t="shared" si="10"/>
        <v>0</v>
      </c>
      <c r="H74" s="1677">
        <f t="shared" si="10"/>
        <v>0</v>
      </c>
      <c r="I74" s="1677">
        <f t="shared" si="10"/>
        <v>0</v>
      </c>
      <c r="J74" s="1677">
        <f t="shared" si="10"/>
        <v>0</v>
      </c>
      <c r="K74" s="1677">
        <f t="shared" si="10"/>
        <v>1800475</v>
      </c>
      <c r="L74" s="1677">
        <f>SUM(L42,L47,L53,L57,L65,L72,L73)</f>
        <v>2077350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820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v>45000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45000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45000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4154442</v>
      </c>
      <c r="D114" s="1670">
        <f t="shared" ref="D114:K114" si="13">SUM(D33,D74,D75,D102,D112,D113)</f>
        <v>1178106</v>
      </c>
      <c r="E114" s="1670">
        <f t="shared" si="13"/>
        <v>953094</v>
      </c>
      <c r="F114" s="1670">
        <f t="shared" si="13"/>
        <v>54621</v>
      </c>
      <c r="G114" s="1670">
        <f t="shared" si="13"/>
        <v>8122</v>
      </c>
      <c r="H114" s="1670">
        <f>SUM(H33,H74,H75,H102,H112,H113)</f>
        <v>0</v>
      </c>
      <c r="I114" s="1670">
        <f t="shared" si="13"/>
        <v>0</v>
      </c>
      <c r="J114" s="1670">
        <f t="shared" si="13"/>
        <v>0</v>
      </c>
      <c r="K114" s="1670">
        <f t="shared" si="13"/>
        <v>6348385</v>
      </c>
      <c r="L114" s="1670">
        <f>SUM(L33,L74,L75,L102,L112,L113)</f>
        <v>6955698</v>
      </c>
    </row>
    <row r="115" spans="1:14" ht="13.5" thickTop="1" x14ac:dyDescent="0.2">
      <c r="A115" s="2157" t="s">
        <v>996</v>
      </c>
      <c r="B115" s="2158"/>
      <c r="C115" s="618"/>
      <c r="D115" s="618"/>
      <c r="E115" s="618"/>
      <c r="F115" s="618"/>
      <c r="G115" s="618"/>
      <c r="H115" s="618"/>
      <c r="I115" s="618"/>
      <c r="J115" s="618"/>
      <c r="K115" s="1684">
        <f>'Revenues 9-14'!C268-'Expenditures 15-22'!K114</f>
        <v>-1209237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339150</v>
      </c>
      <c r="H123" s="466"/>
      <c r="I123" s="467"/>
      <c r="J123" s="467"/>
      <c r="K123" s="1670">
        <f>SUM(C123:J123)</f>
        <v>339150</v>
      </c>
      <c r="L123" s="466">
        <v>100000</v>
      </c>
    </row>
    <row r="124" spans="1:14" ht="14.25" thickTop="1" thickBot="1" x14ac:dyDescent="0.25">
      <c r="A124" s="1504" t="s">
        <v>197</v>
      </c>
      <c r="B124" s="614">
        <v>2540</v>
      </c>
      <c r="C124" s="466">
        <v>102868</v>
      </c>
      <c r="D124" s="466">
        <v>26611</v>
      </c>
      <c r="E124" s="466">
        <v>72927</v>
      </c>
      <c r="F124" s="466">
        <v>119622</v>
      </c>
      <c r="G124" s="466"/>
      <c r="H124" s="466"/>
      <c r="I124" s="467"/>
      <c r="J124" s="467"/>
      <c r="K124" s="1670">
        <f>SUM(C124:J124)</f>
        <v>322028</v>
      </c>
      <c r="L124" s="466">
        <v>310000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102868</v>
      </c>
      <c r="D127" s="1670">
        <f t="shared" ref="D127:L127" si="14">SUM(D122:D126)</f>
        <v>26611</v>
      </c>
      <c r="E127" s="1670">
        <f t="shared" si="14"/>
        <v>72927</v>
      </c>
      <c r="F127" s="1670">
        <f t="shared" si="14"/>
        <v>119622</v>
      </c>
      <c r="G127" s="1670">
        <f t="shared" si="14"/>
        <v>339150</v>
      </c>
      <c r="H127" s="1670">
        <f t="shared" si="14"/>
        <v>0</v>
      </c>
      <c r="I127" s="1670">
        <f t="shared" si="14"/>
        <v>0</v>
      </c>
      <c r="J127" s="1670">
        <f t="shared" si="14"/>
        <v>0</v>
      </c>
      <c r="K127" s="1670">
        <f t="shared" si="14"/>
        <v>661178</v>
      </c>
      <c r="L127" s="1670">
        <f t="shared" si="14"/>
        <v>410000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102868</v>
      </c>
      <c r="D129" s="1677">
        <f t="shared" ref="D129:L129" si="15">SUM(D120,D127,D128)</f>
        <v>26611</v>
      </c>
      <c r="E129" s="1677">
        <f t="shared" si="15"/>
        <v>72927</v>
      </c>
      <c r="F129" s="1677">
        <f t="shared" si="15"/>
        <v>119622</v>
      </c>
      <c r="G129" s="1677">
        <f t="shared" si="15"/>
        <v>339150</v>
      </c>
      <c r="H129" s="1677">
        <f t="shared" si="15"/>
        <v>0</v>
      </c>
      <c r="I129" s="1677">
        <f t="shared" si="15"/>
        <v>0</v>
      </c>
      <c r="J129" s="1677">
        <f t="shared" si="15"/>
        <v>0</v>
      </c>
      <c r="K129" s="1677">
        <f t="shared" si="15"/>
        <v>661178</v>
      </c>
      <c r="L129" s="1677">
        <f t="shared" si="15"/>
        <v>410000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102868</v>
      </c>
      <c r="D151" s="1670">
        <f t="shared" ref="D151:K151" si="16">SUM(D129,D130,D139,D149,D150)</f>
        <v>26611</v>
      </c>
      <c r="E151" s="1670">
        <f t="shared" si="16"/>
        <v>72927</v>
      </c>
      <c r="F151" s="1670">
        <f t="shared" si="16"/>
        <v>119622</v>
      </c>
      <c r="G151" s="1670">
        <f t="shared" si="16"/>
        <v>339150</v>
      </c>
      <c r="H151" s="1670">
        <f t="shared" si="16"/>
        <v>0</v>
      </c>
      <c r="I151" s="1670">
        <f t="shared" si="16"/>
        <v>0</v>
      </c>
      <c r="J151" s="1670">
        <f t="shared" si="16"/>
        <v>0</v>
      </c>
      <c r="K151" s="1670">
        <f t="shared" si="16"/>
        <v>661178</v>
      </c>
      <c r="L151" s="1670">
        <f>SUM(L129,L130,L139,L149,L150)</f>
        <v>410000</v>
      </c>
    </row>
    <row r="152" spans="1:14" ht="12.75" customHeight="1" thickTop="1" x14ac:dyDescent="0.2">
      <c r="A152" s="2177" t="s">
        <v>1178</v>
      </c>
      <c r="B152" s="2178"/>
      <c r="C152" s="618"/>
      <c r="D152" s="618"/>
      <c r="E152" s="618"/>
      <c r="F152" s="618"/>
      <c r="G152" s="618"/>
      <c r="H152" s="618"/>
      <c r="I152" s="618"/>
      <c r="J152" s="616"/>
      <c r="K152" s="1684">
        <f>'Revenues 9-14'!D268-'Expenditures 15-22'!K151</f>
        <v>1338822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7" t="s">
        <v>996</v>
      </c>
      <c r="B211" s="2158"/>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114598</v>
      </c>
      <c r="E217" s="616"/>
      <c r="F217" s="616"/>
      <c r="G217" s="616"/>
      <c r="H217" s="616"/>
      <c r="I217" s="616"/>
      <c r="J217" s="616"/>
      <c r="K217" s="1671">
        <f t="shared" si="19"/>
        <v>114598</v>
      </c>
      <c r="L217" s="466">
        <v>130000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2348</v>
      </c>
      <c r="E222" s="616"/>
      <c r="F222" s="616"/>
      <c r="G222" s="616"/>
      <c r="H222" s="616"/>
      <c r="I222" s="616"/>
      <c r="J222" s="616"/>
      <c r="K222" s="1671">
        <f t="shared" si="19"/>
        <v>2348</v>
      </c>
      <c r="L222" s="466">
        <v>2500</v>
      </c>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116946</v>
      </c>
      <c r="E229" s="616"/>
      <c r="F229" s="616"/>
      <c r="G229" s="616"/>
      <c r="H229" s="616"/>
      <c r="I229" s="616"/>
      <c r="J229" s="616"/>
      <c r="K229" s="1670">
        <f>SUM(K215:K228)</f>
        <v>116946</v>
      </c>
      <c r="L229" s="1670">
        <f>SUM(L215:L228)</f>
        <v>132500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2245</v>
      </c>
      <c r="E234" s="616"/>
      <c r="F234" s="616"/>
      <c r="G234" s="616"/>
      <c r="H234" s="616"/>
      <c r="I234" s="616"/>
      <c r="J234" s="616"/>
      <c r="K234" s="1671">
        <f t="shared" si="20"/>
        <v>2245</v>
      </c>
      <c r="L234" s="466">
        <v>22000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2245</v>
      </c>
      <c r="E238" s="616"/>
      <c r="F238" s="616"/>
      <c r="G238" s="616"/>
      <c r="H238" s="616"/>
      <c r="I238" s="616"/>
      <c r="J238" s="616"/>
      <c r="K238" s="1670">
        <f>SUM(K232:K237)</f>
        <v>2245</v>
      </c>
      <c r="L238" s="1670">
        <f>SUM(L232:L237)</f>
        <v>22000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10394</v>
      </c>
      <c r="E266" s="616"/>
      <c r="F266" s="616"/>
      <c r="G266" s="616"/>
      <c r="H266" s="616"/>
      <c r="I266" s="616"/>
      <c r="J266" s="616"/>
      <c r="K266" s="1672">
        <f t="shared" si="22"/>
        <v>10394</v>
      </c>
      <c r="L266" s="466">
        <v>12000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10394</v>
      </c>
      <c r="E270" s="616"/>
      <c r="F270" s="616"/>
      <c r="G270" s="616"/>
      <c r="H270" s="616"/>
      <c r="I270" s="616"/>
      <c r="J270" s="616"/>
      <c r="K270" s="1670">
        <f>SUM(K263:K269)</f>
        <v>10394</v>
      </c>
      <c r="L270" s="1670">
        <f>SUM(L263:L269)</f>
        <v>12000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12639</v>
      </c>
      <c r="E279" s="616"/>
      <c r="F279" s="616"/>
      <c r="G279" s="616"/>
      <c r="H279" s="616"/>
      <c r="I279" s="616"/>
      <c r="J279" s="616"/>
      <c r="K279" s="1677">
        <f>SUM(K238,K243,K257,K261,K270,K277,K278)</f>
        <v>12639</v>
      </c>
      <c r="L279" s="1677">
        <f>SUM(L238,L243,L257,L261,L270,L277,L278)</f>
        <v>34000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129585</v>
      </c>
      <c r="E295" s="616"/>
      <c r="F295" s="616"/>
      <c r="G295" s="616"/>
      <c r="H295" s="1670">
        <f>H293</f>
        <v>0</v>
      </c>
      <c r="I295" s="616"/>
      <c r="J295" s="616"/>
      <c r="K295" s="1670">
        <f>SUM(K229,K279,K280,K285,K293,K294)</f>
        <v>129585</v>
      </c>
      <c r="L295" s="1670">
        <f>SUM(L229,L279,L280,L285,L293,L294)</f>
        <v>166500</v>
      </c>
    </row>
    <row r="296" spans="1:14" ht="13.5" thickTop="1" x14ac:dyDescent="0.2">
      <c r="A296" s="2157" t="s">
        <v>996</v>
      </c>
      <c r="B296" s="2158"/>
      <c r="C296" s="616"/>
      <c r="D296" s="618"/>
      <c r="E296" s="616"/>
      <c r="F296" s="616"/>
      <c r="G296" s="616"/>
      <c r="H296" s="687"/>
      <c r="I296" s="616"/>
      <c r="J296" s="616"/>
      <c r="K296" s="1684">
        <f>'Revenues 9-14'!G268-'Expenditures 15-22'!K295</f>
        <v>-129585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H Attachment" ma:contentTypeID="0x0101003E158B62FF2E7F48A94D5A79E60A5783003E6552437874DD4EA2EB10C7B6840FF7" ma:contentTypeVersion="3" ma:contentTypeDescription="Content type for attachments and related items" ma:contentTypeScope="" ma:versionID="46b34ffa7f5141d2b872918aed65a9dc">
  <xsd:schema xmlns:xsd="http://www.w3.org/2001/XMLSchema" xmlns:xs="http://www.w3.org/2001/XMLSchema" xmlns:p="http://schemas.microsoft.com/office/2006/metadata/properties" xmlns:ns2="12573e6a-d871-46ca-acb8-184d6dd9d449" targetNamespace="http://schemas.microsoft.com/office/2006/metadata/properties" ma:root="true" ma:fieldsID="3666880de27cdd6914776f3dac4951b0"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West Aurora School District 129"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78426.001.005" ma:internalName="CroweProjectNumberText" ma:readOnly="true">
      <xsd:simpleType>
        <xsd:restriction base="dms:Text"/>
      </xsd:simpleType>
    </xsd:element>
    <xsd:element name="CroweProjectNameText" ma:index="14" nillable="true" ma:displayName="Project Name" ma:default="West Aurora School District 129" ma:internalName="CroweProjectNameText" ma:readOnly="true">
      <xsd:simpleType>
        <xsd:restriction base="dms:Text"/>
      </xsd:simpleType>
    </xsd:element>
    <xsd:element name="CrowePeriodEndText" ma:index="15" nillable="true" ma:displayName="Period End" ma:default="6/30/2019"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181784da-1a4e-4339-a3f1-f600cb0763c6}" ma:internalName="TaxCatchAll" ma:showField="CatchAllData" ma:web="a6cb7852-0915-4dfb-a41f-7295be091d4d">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181784da-1a4e-4339-a3f1-f600cb0763c6}" ma:internalName="TaxCatchAllLabel" ma:readOnly="true" ma:showField="CatchAllDataLabel" ma:web="a6cb7852-0915-4dfb-a41f-7295be091d4d">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a483fb48-e94f-4605-a5c3-ca0617cb71e8" ContentTypeId="0x0101003E158B62FF2E7F48A94D5A79E60A5783" PreviousValue="false"/>
</file>

<file path=customXml/item4.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id="div_Workpaper219" class="related-item"&gt;&lt;a title="Other Deliverable Approval - Hope Wall AFR" class="js-related-item-link" data-relateditems-itemtype="Workpaper" data-relateditems-fileref="Other Deliverable Approval - Hope Wall AFR.docx"&gt;Z440.2&lt;/a&gt;&lt;/div&gt;</CroweRelatedWorkpapers>
  </documentManagement>
</p:properties>
</file>

<file path=customXml/itemProps1.xml><?xml version="1.0" encoding="utf-8"?>
<ds:datastoreItem xmlns:ds="http://schemas.openxmlformats.org/officeDocument/2006/customXml" ds:itemID="{54F8F71C-9590-441C-A09D-7FE1DFD6FB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DFD1951-4E87-45FF-B42C-9EC728F375AE}">
  <ds:schemaRefs>
    <ds:schemaRef ds:uri="Microsoft.SharePoint.Taxonomy.ContentTypeSync"/>
  </ds:schemaRefs>
</ds:datastoreItem>
</file>

<file path=customXml/itemProps4.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dcmitype/"/>
    <ds:schemaRef ds:uri="http://www.w3.org/XML/1998/namespace"/>
    <ds:schemaRef ds:uri="http://purl.org/dc/elements/1.1/"/>
    <ds:schemaRef ds:uri="http://schemas.microsoft.com/office/infopath/2007/PartnerControls"/>
    <ds:schemaRef ds:uri="12573e6a-d871-46ca-acb8-184d6dd9d44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2019-11-15T18:53:57Z</cp:lastPrinted>
  <dcterms:created xsi:type="dcterms:W3CDTF">2003-10-29T19:06:34Z</dcterms:created>
  <dcterms:modified xsi:type="dcterms:W3CDTF">2020-01-13T17:29:16Z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0x0101003E158B62FF2E7F48A94D5A79E60A5783003E6552437874DD4EA2EB10C7B6840FF7</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