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D8380DC4-DED6-41CB-A881-438ACDBFCB3B}" xr6:coauthVersionLast="36" xr6:coauthVersionMax="36" xr10:uidLastSave="{00000000-0000-0000-0000-000000000000}"/>
  <bookViews>
    <workbookView xWindow="-30"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1" i="181"/>
  <c r="F20" i="181"/>
  <c r="F19" i="181"/>
  <c r="F18"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40" i="181"/>
  <c r="E140" i="181"/>
  <c r="G139" i="181"/>
  <c r="E139" i="181"/>
  <c r="G138" i="181"/>
  <c r="E138" i="181"/>
  <c r="G137" i="181"/>
  <c r="E137" i="181"/>
  <c r="G136" i="181"/>
  <c r="E136" i="181"/>
  <c r="G135" i="181"/>
  <c r="E135" i="181"/>
  <c r="G134" i="181"/>
  <c r="E134" i="181"/>
  <c r="E133" i="181"/>
  <c r="G133" i="181" s="1"/>
  <c r="G132" i="181"/>
  <c r="E132" i="181"/>
  <c r="G131" i="181"/>
  <c r="E131" i="181"/>
  <c r="G130" i="181"/>
  <c r="E130" i="181"/>
  <c r="G129" i="181"/>
  <c r="E129" i="181"/>
  <c r="E128" i="181"/>
  <c r="G128" i="181" s="1"/>
  <c r="G127" i="181"/>
  <c r="E127" i="181"/>
  <c r="G126" i="181"/>
  <c r="E126" i="181"/>
  <c r="G125" i="181"/>
  <c r="E125" i="181"/>
  <c r="E124" i="181"/>
  <c r="G124" i="181" s="1"/>
  <c r="G123" i="181"/>
  <c r="E123" i="181"/>
  <c r="G122" i="181"/>
  <c r="E122" i="181"/>
  <c r="G121" i="181"/>
  <c r="E121" i="181"/>
  <c r="G120" i="181"/>
  <c r="E120" i="181"/>
  <c r="G119" i="181"/>
  <c r="E119" i="181"/>
  <c r="G118" i="181"/>
  <c r="E118" i="181"/>
  <c r="G117" i="181"/>
  <c r="E117" i="181"/>
  <c r="G116" i="181"/>
  <c r="E116" i="181"/>
  <c r="E115" i="181"/>
  <c r="G115" i="181" s="1"/>
  <c r="G114" i="181"/>
  <c r="E114" i="181"/>
  <c r="G113" i="181"/>
  <c r="E113" i="181"/>
  <c r="G112" i="181"/>
  <c r="E112" i="181"/>
  <c r="E111" i="181"/>
  <c r="G111" i="181" s="1"/>
  <c r="G110" i="181"/>
  <c r="E110" i="181"/>
  <c r="G109" i="181"/>
  <c r="E109" i="181"/>
  <c r="G108" i="181"/>
  <c r="E108" i="181"/>
  <c r="G107" i="181"/>
  <c r="E107" i="181"/>
  <c r="G106" i="181"/>
  <c r="E106" i="181"/>
  <c r="G105" i="181"/>
  <c r="E105" i="181"/>
  <c r="G100" i="181"/>
  <c r="E100" i="181"/>
  <c r="G104" i="181"/>
  <c r="E104" i="181"/>
  <c r="E103" i="181"/>
  <c r="G103" i="181" s="1"/>
  <c r="G102" i="181"/>
  <c r="E102" i="181"/>
  <c r="E101" i="181"/>
  <c r="G101" i="181" s="1"/>
  <c r="G99" i="181"/>
  <c r="E99" i="181"/>
  <c r="E98" i="181"/>
  <c r="G98" i="181" s="1"/>
  <c r="G97" i="181"/>
  <c r="E97" i="181"/>
  <c r="E96" i="181"/>
  <c r="G96" i="181" s="1"/>
  <c r="G94" i="181"/>
  <c r="E94" i="181"/>
  <c r="G93" i="181"/>
  <c r="E93" i="181"/>
  <c r="E92" i="181"/>
  <c r="G92" i="181" s="1"/>
  <c r="G91" i="181"/>
  <c r="E91" i="181"/>
  <c r="G90" i="181"/>
  <c r="E90" i="181"/>
  <c r="E89" i="181"/>
  <c r="G89" i="181" s="1"/>
  <c r="G88" i="181"/>
  <c r="E88" i="181"/>
  <c r="E87" i="181"/>
  <c r="G87" i="181" s="1"/>
  <c r="G85" i="181"/>
  <c r="E85" i="181"/>
  <c r="G84" i="181"/>
  <c r="E84" i="181"/>
  <c r="G83" i="181"/>
  <c r="E83" i="181"/>
  <c r="G82" i="181"/>
  <c r="E82" i="181"/>
  <c r="G81" i="181"/>
  <c r="E81" i="181"/>
  <c r="G80" i="181"/>
  <c r="E80" i="181"/>
  <c r="G79" i="181"/>
  <c r="E79" i="181"/>
  <c r="G78" i="181"/>
  <c r="E78" i="181"/>
  <c r="G77" i="181"/>
  <c r="E77" i="181"/>
  <c r="E76" i="181"/>
  <c r="G76" i="181" s="1"/>
  <c r="G75" i="181"/>
  <c r="E75" i="181"/>
  <c r="G74" i="181"/>
  <c r="E74" i="181"/>
  <c r="G141" i="181"/>
  <c r="E141" i="181"/>
  <c r="G95" i="181"/>
  <c r="E95" i="181"/>
  <c r="G86" i="181"/>
  <c r="E86" i="181"/>
  <c r="E73" i="181"/>
  <c r="G73" i="181" s="1"/>
  <c r="G72" i="181"/>
  <c r="E72" i="181"/>
  <c r="G71" i="181"/>
  <c r="E71" i="181"/>
  <c r="G70" i="181"/>
  <c r="E70" i="181"/>
  <c r="G69" i="181"/>
  <c r="E69" i="181"/>
  <c r="G68" i="181"/>
  <c r="E68" i="181"/>
  <c r="G67" i="181"/>
  <c r="E67" i="181"/>
  <c r="E66" i="181"/>
  <c r="G66" i="181" s="1"/>
  <c r="E65" i="181"/>
  <c r="G65" i="181" s="1"/>
  <c r="G64" i="181"/>
  <c r="E64" i="181"/>
  <c r="G63" i="181"/>
  <c r="E63" i="181"/>
  <c r="G62" i="181"/>
  <c r="E62" i="181"/>
  <c r="E61" i="181"/>
  <c r="G61" i="181" s="1"/>
  <c r="G60" i="181"/>
  <c r="E60" i="181"/>
  <c r="E59" i="181"/>
  <c r="G59" i="181" s="1"/>
  <c r="G58" i="181"/>
  <c r="E58" i="181"/>
  <c r="E57" i="181"/>
  <c r="G57" i="181" s="1"/>
  <c r="G56" i="181"/>
  <c r="E56" i="181"/>
  <c r="E55" i="181"/>
  <c r="G55" i="181" s="1"/>
  <c r="G54" i="181"/>
  <c r="E54" i="181"/>
  <c r="G53" i="181"/>
  <c r="E53" i="181"/>
  <c r="G52" i="181"/>
  <c r="E52" i="181"/>
  <c r="G51" i="181"/>
  <c r="E51" i="181"/>
  <c r="G50" i="181"/>
  <c r="E50" i="181"/>
  <c r="E49" i="181"/>
  <c r="G49" i="181" s="1"/>
  <c r="G48" i="181"/>
  <c r="E48" i="181"/>
  <c r="G47" i="181"/>
  <c r="E47" i="181"/>
  <c r="E46" i="181"/>
  <c r="G46" i="181" s="1"/>
  <c r="E45" i="181"/>
  <c r="G45" i="181" s="1"/>
  <c r="E44" i="181"/>
  <c r="E43" i="181"/>
  <c r="E42" i="181"/>
  <c r="G42" i="181" s="1"/>
  <c r="G41" i="181"/>
  <c r="E41" i="181"/>
  <c r="G40" i="181"/>
  <c r="E40" i="181"/>
  <c r="G39" i="181"/>
  <c r="E39" i="181"/>
  <c r="G38" i="181"/>
  <c r="E38" i="181"/>
  <c r="E37" i="181"/>
  <c r="G37" i="181" s="1"/>
  <c r="E36" i="181"/>
  <c r="G36" i="181" s="1"/>
  <c r="E35" i="181"/>
  <c r="G35" i="181" s="1"/>
  <c r="E34" i="181"/>
  <c r="E33" i="181"/>
  <c r="G33" i="181" s="1"/>
  <c r="E32" i="181"/>
  <c r="G32" i="181" s="1"/>
  <c r="E31" i="181"/>
  <c r="G31" i="181" s="1"/>
  <c r="E30" i="181"/>
  <c r="E29" i="181"/>
  <c r="G29" i="181" s="1"/>
  <c r="E28" i="181"/>
  <c r="G27" i="181"/>
  <c r="E27" i="181"/>
  <c r="E26" i="181"/>
  <c r="E25" i="181"/>
  <c r="G25" i="181" s="1"/>
  <c r="E24" i="181"/>
  <c r="G24" i="181" s="1"/>
  <c r="E23" i="181"/>
  <c r="G23" i="181" s="1"/>
  <c r="E22" i="181"/>
  <c r="G22" i="181" s="1"/>
  <c r="E21" i="181"/>
  <c r="G21" i="181" s="1"/>
  <c r="E20" i="181"/>
  <c r="E19" i="181"/>
  <c r="G44" i="181" l="1"/>
  <c r="G43" i="181"/>
  <c r="G34" i="181"/>
  <c r="G30" i="181"/>
  <c r="G28" i="181"/>
  <c r="G26" i="181"/>
  <c r="G20" i="181"/>
  <c r="G19" i="181"/>
  <c r="D142" i="181"/>
  <c r="D80" i="36" l="1"/>
  <c r="B7797" i="106"/>
  <c r="E142" i="181"/>
  <c r="E18" i="181"/>
  <c r="E17" i="181"/>
  <c r="F17" i="181" s="1"/>
  <c r="G17" i="181" l="1"/>
  <c r="G18" i="181"/>
  <c r="G142" i="181" s="1"/>
  <c r="G40" i="108" l="1"/>
  <c r="B7799" i="106"/>
  <c r="F142"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82" i="36"/>
  <c r="D78" i="36"/>
  <c r="K75" i="29"/>
  <c r="C14" i="4" s="1"/>
  <c r="B2558" i="106" s="1"/>
  <c r="D2558" i="106" s="1"/>
  <c r="K130" i="29"/>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F65"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2" i="29" s="1"/>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B5752" i="106"/>
  <c r="D5752" i="106" s="1"/>
  <c r="D7245" i="106" l="1"/>
  <c r="J41" i="3"/>
  <c r="D6103" i="106"/>
  <c r="L13" i="11"/>
  <c r="B2060" i="106" s="1"/>
  <c r="D2060" i="106" s="1"/>
  <c r="E29" i="108"/>
  <c r="G15" i="145"/>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L114" i="29" s="1"/>
  <c r="K33" i="29"/>
  <c r="B720" i="106"/>
  <c r="D720" i="106" s="1"/>
  <c r="B2031" i="106"/>
  <c r="D2031" i="106" s="1"/>
  <c r="L16" i="11"/>
  <c r="B2061" i="106" s="1"/>
  <c r="D2061"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D41" i="108" l="1"/>
  <c r="E43" i="108" s="1"/>
  <c r="C114" i="29"/>
  <c r="B757" i="106" s="1"/>
  <c r="D75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<sst xmlns="http://schemas.openxmlformats.org/spreadsheetml/2006/main" count="5062" uniqueCount="2093">
  <si>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</si>
  <si>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</si>
  <si>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</si>
  <si>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</si>
  <si>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</si>
  <si>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</si>
  <si>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</si>
  <si>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</si>
  <si>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</si>
  <si>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</si>
  <si>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</si>
  <si>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</si>
  <si>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</si>
  <si>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</si>
  <si>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</si>
  <si>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</si>
  <si>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</si>
  <si>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</si>
  <si>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</si>
  <si>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</si>
  <si>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</si>
  <si>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</si>
  <si>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</si>
  <si>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</si>
  <si>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</si>
  <si>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</si>
  <si>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</si>
  <si>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</si>
  <si>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</si>
  <si>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</si>
  <si>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</si>
  <si>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</si>
  <si>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</si>
  <si>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</si>
  <si>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</si>
  <si>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</si>
  <si>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</si>
  <si>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</si>
  <si>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</si>
  <si>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</si>
  <si>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</si>
  <si>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</si>
  <si>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</si>
  <si>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</si>
  <si>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</si>
  <si>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</si>
  <si>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</si>
  <si>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</si>
  <si>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</si>
  <si>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</si>
  <si>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</si>
  <si>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</si>
  <si>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</si>
  <si>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</si>
  <si>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</si>
  <si>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</si>
  <si>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</si>
  <si>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</si>
  <si>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</si>
  <si>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</si>
  <si>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</si>
  <si>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</si>
  <si>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</si>
  <si>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</si>
  <si>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</si>
  <si>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</si>
  <si>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</si>
  <si>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</si>
  <si>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</si>
  <si>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</si>
  <si>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</si>
  <si>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</si>
  <si>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</si>
  <si>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</si>
  <si>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</si>
  <si>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</si>
  <si>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</si>
  <si>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</si>
  <si>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</si>
  <si>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</si>
  <si>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</si>
  <si>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</si>
  <si>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</si>
  <si>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</si>
  <si>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</si>
  <si>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</si>
  <si>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</si>
  <si>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</si>
  <si>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</si>
  <si>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</si>
  <si>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</si>
  <si>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</si>
  <si>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</si>
  <si>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</si>
  <si>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</si>
  <si>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</si>
  <si>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</si>
  <si>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</si>
  <si>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</si>
  <si>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</si>
  <si>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</si>
  <si>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</si>
  <si>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</si>
  <si>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</si>
  <si>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</si>
  <si>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</si>
  <si>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</si>
  <si>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</si>
  <si>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</si>
  <si>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</si>
  <si>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</si>
  <si>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</si>
  <si>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</si>
  <si>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</si>
  <si>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</si>
  <si>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</si>
  <si>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</si>
  <si>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</si>
  <si>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</si>
  <si>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</si>
  <si>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</si>
  <si>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</si>
  <si>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</si>
  <si>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</si>
  <si>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</si>
  <si>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</si>
  <si>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</si>
  <si>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</si>
  <si>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</si>
  <si>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</si>
  <si>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</si>
  <si>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</si>
  <si>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</si>
  <si>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</si>
  <si>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</si>
  <si>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</si>
  <si>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</si>
  <si>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</si>
  <si>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</si>
  <si>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</si>
  <si>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</si>
  <si>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</si>
  <si>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</si>
  <si>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</si>
  <si>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</si>
  <si>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</si>
  <si>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</si>
  <si>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</si>
  <si>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</si>
  <si>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</si>
  <si>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</si>
  <si>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</si>
  <si>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</si>
  <si>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</si>
  <si>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</si>
  <si>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</si>
  <si>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</si>
  <si>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</si>
  <si>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</si>
  <si>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</si>
  <si>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</si>
  <si>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</si>
  <si>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</si>
  <si>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</si>
  <si>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</si>
  <si>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</si>
  <si>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</si>
  <si>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</si>
  <si>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</si>
  <si>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</si>
  <si>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</si>
  <si>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</si>
  <si>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</si>
  <si>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</si>
  <si>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</si>
  <si>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</si>
  <si>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</si>
  <si>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</si>
  <si>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</si>
  <si>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</si>
  <si>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</si>
  <si>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</si>
  <si>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</si>
  <si>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</si>
  <si>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</si>
  <si>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</si>
  <si>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</si>
  <si>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</si>
  <si>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</si>
  <si>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</si>
  <si>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</si>
  <si>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</si>
  <si>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</si>
  <si>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</si>
  <si>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</si>
  <si>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</si>
  <si>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</si>
  <si>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</si>
  <si>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</si>
  <si>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</si>
  <si>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</si>
  <si>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</si>
  <si>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</si>
  <si>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</si>
  <si>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</si>
  <si>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</si>
  <si>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</si>
  <si>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</si>
  <si>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</si>
  <si>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</si>
  <si>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</si>
  <si>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</si>
  <si>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</si>
  <si>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</si>
  <si>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</si>
  <si>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</si>
  <si>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</si>
  <si>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</si>
  <si>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</si>
  <si>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</si>
  <si>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</si>
  <si>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</si>
  <si>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</si>
  <si>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</si>
  <si>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</si>
  <si>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</si>
  <si>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</si>
  <si>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</si>
  <si>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</si>
  <si>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</si>
  <si>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</si>
  <si>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</si>
  <si>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</si>
  <si>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</si>
  <si>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</si>
  <si>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</si>
  <si>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</si>
  <si>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</si>
  <si>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</si>
  <si>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</si>
  <si>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</si>
  <si>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</si>
  <si>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</si>
  <si>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</si>
  <si>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</si>
  <si>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</si>
  <si>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</si>
  <si>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</si>
  <si>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</si>
  <si>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</si>
  <si>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</si>
  <si>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</si>
  <si>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</si>
  <si>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</si>
  <si>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</si>
  <si>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</si>
  <si>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</si>
  <si>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</si>
  <si>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</si>
  <si>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</si>
  <si>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</si>
  <si>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</si>
  <si>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</si>
  <si>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</si>
  <si>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</si>
  <si>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</si>
  <si>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</si>
  <si>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</si>
  <si>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</si>
  <si>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</si>
  <si>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</si>
  <si>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</si>
  <si>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</si>
  <si>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</si>
  <si>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</si>
  <si>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</si>
  <si>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</si>
  <si>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</si>
  <si>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</si>
  <si>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</si>
  <si>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</si>
  <si>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</si>
  <si>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</si>
  <si>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</si>
  <si>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</si>
  <si>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</si>
  <si>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</si>
  <si>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</si>
  <si>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</si>
  <si>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</si>
  <si>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</si>
  <si>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</si>
  <si>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</si>
  <si>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</si>
  <si>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</si>
  <si>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</si>
  <si>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</si>
  <si>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</si>
  <si>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</si>
  <si>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</si>
  <si>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</si>
  <si>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</si>
  <si>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</si>
  <si>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</si>
  <si>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</si>
  <si>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</si>
  <si>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</si>
  <si>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</si>
  <si>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</si>
  <si>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</si>
  <si>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</si>
  <si>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</si>
  <si>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</si>
  <si>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</si>
  <si>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</si>
  <si>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</si>
  <si>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</si>
  <si>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</si>
  <si>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</si>
  <si>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</si>
  <si>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</si>
  <si>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</si>
  <si>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</si>
  <si>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</si>
  <si>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</si>
  <si>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</si>
  <si>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</si>
  <si>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</si>
  <si>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</si>
  <si>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</si>
  <si>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</si>
  <si>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</si>
  <si>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</si>
  <si>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</si>
  <si>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</si>
  <si>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</si>
  <si>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</si>
  <si>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</si>
  <si>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</si>
  <si>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</si>
  <si>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</si>
  <si>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</si>
  <si>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</si>
  <si>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</si>
  <si>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</si>
  <si>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</si>
  <si>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</si>
  <si>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</si>
  <si>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</si>
  <si>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</si>
  <si>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</si>
  <si>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</si>
  <si>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</si>
  <si>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</si>
  <si>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</si>
  <si>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</si>
  <si>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</si>
  <si>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</si>
  <si>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</si>
  <si>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</si>
  <si>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</si>
  <si>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</si>
  <si>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</si>
  <si>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</si>
  <si>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</si>
  <si>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</si>
  <si>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</si>
  <si>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</si>
  <si>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</si>
  <si>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</si>
  <si>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</si>
  <si>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</si>
  <si>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</si>
  <si>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</si>
  <si>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</si>
  <si>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</si>
  <si>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</si>
  <si>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</si>
  <si>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</si>
  <si>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</si>
  <si>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</si>
  <si>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</si>
  <si>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</si>
  <si>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</si>
  <si>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</si>
  <si>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</si>
  <si>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</si>
  <si>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</si>
  <si>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</si>
  <si>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</si>
  <si>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</si>
  <si>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</si>
  <si>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</si>
  <si>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</si>
  <si>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</si>
  <si>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</si>
  <si>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</si>
  <si>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</si>
  <si>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</si>
  <si>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</si>
  <si>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</si>
  <si>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</si>
  <si>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</si>
  <si>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</si>
  <si>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</si>
  <si>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</si>
  <si>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</si>
  <si>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</si>
  <si>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</si>
  <si>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</si>
  <si>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</si>
  <si>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</si>
  <si>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</si>
  <si>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</si>
  <si>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</si>
  <si>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</si>
  <si>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</si>
  <si>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</si>
  <si>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</si>
  <si>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</si>
  <si>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</si>
  <si>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</si>
  <si>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</si>
  <si>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</si>
  <si>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</si>
  <si>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</si>
  <si>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</si>
  <si>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</si>
  <si>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</si>
  <si>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</si>
  <si>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</si>
  <si>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</si>
  <si>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</si>
  <si>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</si>
  <si>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</si>
  <si>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</si>
  <si>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</si>
  <si>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</si>
  <si>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</si>
  <si>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</si>
  <si>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</si>
  <si>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</si>
  <si>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</si>
  <si>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</si>
  <si>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</si>
  <si>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</si>
  <si>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</si>
  <si>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</si>
  <si>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</si>
  <si>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</si>
  <si>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</si>
  <si>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</si>
  <si>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</si>
  <si>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</si>
  <si>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</si>
  <si>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</si>
  <si>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</si>
  <si>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</si>
  <si>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</si>
  <si>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</si>
  <si>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</si>
  <si>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</si>
  <si>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</si>
  <si>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</si>
  <si>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</si>
  <si>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</si>
  <si>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</si>
  <si>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</si>
  <si>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</si>
  <si>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</si>
  <si>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</si>
  <si>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</si>
  <si>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</si>
  <si>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</si>
  <si>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</si>
  <si>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</si>
  <si>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</si>
  <si>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</si>
  <si>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</si>
  <si>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</si>
  <si>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</si>
  <si>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</si>
  <si>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</si>
  <si>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</si>
  <si>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</si>
  <si>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</si>
  <si>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</si>
  <si>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</si>
  <si>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</si>
  <si>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</si>
  <si>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</si>
  <si>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</si>
  <si>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</si>
  <si>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</si>
  <si>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</si>
  <si>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</si>
  <si>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</si>
  <si>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</si>
  <si>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</si>
  <si>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</si>
  <si>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</si>
  <si>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</si>
  <si>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</si>
  <si>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</si>
  <si>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</si>
  <si>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</si>
  <si>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</si>
  <si>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</si>
  <si>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</si>
  <si>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</si>
  <si>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</si>
  <si>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</si>
  <si>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</si>
  <si>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</si>
  <si>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</si>
  <si>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</si>
  <si>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</si>
  <si>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</si>
  <si>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</si>
  <si>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</si>
  <si>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</si>
  <si>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</si>
  <si>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</si>
  <si>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</si>
  <si>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</si>
  <si>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</si>
  <si>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</si>
  <si>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</si>
  <si>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</si>
  <si>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</si>
  <si>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</si>
  <si>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</si>
  <si>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</si>
  <si>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</si>
  <si>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</si>
  <si>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</si>
  <si>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</si>
  <si>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</si>
  <si>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</si>
  <si>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</si>
  <si>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</si>
  <si>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</si>
  <si>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</si>
  <si>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</si>
  <si>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</si>
  <si>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</si>
  <si>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</si>
  <si>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</si>
  <si>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</si>
  <si>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</si>
  <si>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</si>
  <si>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</si>
  <si>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</si>
  <si>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</si>
  <si>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</si>
  <si>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</si>
  <si>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</si>
  <si>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</si>
  <si>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</si>
  <si>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</si>
  <si>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</si>
  <si>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</si>
  <si>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</si>
  <si>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</si>
  <si>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</si>
  <si>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</si>
  <si>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</si>
  <si>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</si>
  <si>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</si>
  <si>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</si>
  <si>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</si>
  <si>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</si>
  <si>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</si>
  <si>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</si>
  <si>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</si>
  <si>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</si>
  <si>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</si>
  <si>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</si>
  <si>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</si>
  <si>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</si>
  <si>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</si>
  <si>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</si>
  <si>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</si>
  <si>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</si>
  <si>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</si>
  <si>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</si>
  <si>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</si>
  <si>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</si>
  <si>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</si>
  <si>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</si>
  <si>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</si>
  <si>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</si>
  <si>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</si>
  <si>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</si>
  <si>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</si>
  <si>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</si>
  <si>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</si>
  <si>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</si>
  <si>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</si>
  <si>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</si>
  <si>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</si>
  <si>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</si>
  <si>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</si>
  <si>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</si>
  <si>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</si>
  <si>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</si>
  <si>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</si>
  <si>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</si>
  <si>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</si>
  <si>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</si>
  <si>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</si>
  <si>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</si>
  <si>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</si>
  <si>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</si>
  <si>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</si>
  <si>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</si>
  <si>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</si>
  <si>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</si>
  <si>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</si>
  <si>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</si>
  <si>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</si>
  <si>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</si>
  <si>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</si>
  <si>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</si>
  <si>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</si>
  <si>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</si>
  <si>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</si>
  <si>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</si>
  <si>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</si>
  <si>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</si>
  <si>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</si>
  <si>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</si>
  <si>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</si>
  <si>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</si>
  <si>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</si>
  <si>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</si>
  <si>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</si>
  <si>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</si>
  <si>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</si>
  <si>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</si>
  <si>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</si>
  <si>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</si>
  <si>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</si>
  <si>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</si>
  <si>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</si>
  <si>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</si>
  <si>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</si>
  <si>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</si>
  <si>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</si>
  <si>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</si>
  <si>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</si>
  <si>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</si>
  <si>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</si>
  <si>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</si>
  <si>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</si>
  <si>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</si>
  <si>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</si>
  <si>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</si>
  <si>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</si>
  <si>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</si>
  <si>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</si>
  <si>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</si>
  <si>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</si>
  <si>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</si>
  <si>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</si>
  <si>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</si>
  <si>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</si>
  <si>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</si>
  <si>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</si>
  <si>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</si>
  <si>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</si>
  <si>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</si>
  <si>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</si>
  <si>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</si>
  <si>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</si>
  <si>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</si>
  <si>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</si>
  <si>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</si>
  <si>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</si>
  <si>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</si>
  <si>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</si>
  <si>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</si>
  <si>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</si>
  <si>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</si>
  <si>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</si>
  <si>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</si>
  <si>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</si>
  <si>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</si>
  <si>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</si>
  <si>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</si>
  <si>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</si>
  <si>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</si>
  <si>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</si>
  <si>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</si>
  <si>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</si>
  <si>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</si>
  <si>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</si>
  <si>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</si>
  <si>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</si>
  <si>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</si>
  <si>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</si>
  <si>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</si>
  <si>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</si>
  <si>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</si>
  <si>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</si>
  <si>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</si>
  <si>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</si>
  <si>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</si>
  <si>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</si>
  <si>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</si>
  <si>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</si>
  <si>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</si>
  <si>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</si>
  <si>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</si>
  <si>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</si>
  <si>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</si>
  <si>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</si>
  <si>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</si>
  <si>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</si>
  <si>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</si>
  <si>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</si>
  <si>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</si>
  <si>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</si>
  <si>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</si>
  <si>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</si>
  <si>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</si>
  <si>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</si>
  <si>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</si>
  <si>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</si>
  <si>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</si>
  <si>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</si>
  <si>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</si>
  <si>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</si>
  <si>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</si>
  <si>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</si>
  <si>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</si>
  <si>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</si>
  <si>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</si>
  <si>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</si>
  <si>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</si>
  <si>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</si>
  <si>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</si>
  <si>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</si>
  <si>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</si>
  <si>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</si>
  <si>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</si>
  <si>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</si>
  <si>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</si>
  <si>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</si>
  <si>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</si>
  <si>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</si>
  <si>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</si>
  <si>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</si>
  <si>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</si>
  <si>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</si>
  <si>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</si>
  <si>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</si>
  <si>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</si>
  <si>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</si>
  <si>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</si>
  <si>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</si>
  <si>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</si>
  <si>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</si>
  <si>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</si>
  <si>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</si>
  <si>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</si>
  <si>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</si>
  <si>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</si>
  <si>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</si>
  <si>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</si>
  <si>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</si>
  <si>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</si>
  <si>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</si>
  <si>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</si>
  <si>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</si>
  <si>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</si>
  <si>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</si>
  <si>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</si>
  <si>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</si>
  <si>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</si>
  <si>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</si>
  <si>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</si>
  <si>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</si>
  <si>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</si>
  <si>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</si>
  <si>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</si>
  <si>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</si>
  <si>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</si>
  <si>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</si>
  <si>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</si>
  <si>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</si>
  <si>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</si>
  <si>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</si>
  <si>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</si>
  <si>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</si>
  <si>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</si>
  <si>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</si>
  <si>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</si>
  <si>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</si>
  <si>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</si>
  <si>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</si>
  <si>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</si>
  <si>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</si>
  <si>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</si>
  <si>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</si>
  <si>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</si>
  <si>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</si>
  <si>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</si>
  <si>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</si>
  <si>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</si>
  <si>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</si>
  <si>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</si>
  <si>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</si>
  <si>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</si>
  <si>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</si>
  <si>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</si>
  <si>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</si>
  <si>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</si>
  <si>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</si>
  <si>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</si>
  <si>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</si>
  <si>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</si>
  <si>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</si>
  <si>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</si>
  <si>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</si>
  <si>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</si>
  <si>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</si>
  <si>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</si>
  <si>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</si>
  <si>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</si>
  <si>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</si>
  <si>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</si>
  <si>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</si>
  <si>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</si>
  <si>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</si>
  <si>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</si>
  <si>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</si>
  <si>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</si>
  <si>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</si>
  <si>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</si>
  <si>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</si>
  <si>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</si>
  <si>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</si>
  <si>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</si>
  <si>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</si>
  <si>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</si>
  <si>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</si>
  <si>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</si>
  <si>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</si>
  <si>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</si>
  <si>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</si>
  <si>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</si>
  <si>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</si>
  <si>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</si>
  <si>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</si>
  <si>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</si>
  <si>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</si>
  <si>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</si>
  <si>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</si>
  <si>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</si>
  <si>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</si>
  <si>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</si>
  <si>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</si>
  <si>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</si>
  <si>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</si>
  <si>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</si>
  <si>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</si>
  <si>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</si>
  <si>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</si>
  <si>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</si>
  <si>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</si>
  <si>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</si>
  <si>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</si>
  <si>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</si>
  <si>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</si>
  <si>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</si>
  <si>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</si>
  <si>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</si>
  <si>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</si>
  <si>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</si>
  <si>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</si>
  <si>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</si>
  <si>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</si>
  <si>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</si>
  <si>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</si>
  <si>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</si>
  <si>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</si>
  <si>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</si>
  <si>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</si>
  <si>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</si>
  <si>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</si>
  <si>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</si>
  <si>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</si>
  <si>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</si>
  <si>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</si>
  <si>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</si>
  <si>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</si>
  <si>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</si>
  <si>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</si>
  <si>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</si>
  <si>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</si>
  <si>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</si>
  <si>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</si>
  <si>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</si>
  <si>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</si>
  <si>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</si>
  <si>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</si>
  <si>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</si>
  <si>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</si>
  <si>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</si>
  <si>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</si>
  <si>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</si>
  <si>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</si>
  <si>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</si>
  <si>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</si>
  <si>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</si>
  <si>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</si>
  <si>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</si>
  <si>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</si>
  <si>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</si>
  <si>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</si>
  <si>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</si>
  <si>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</si>
  <si>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</si>
  <si>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</si>
  <si>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</si>
  <si>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</si>
  <si>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</si>
  <si>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</si>
  <si>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</si>
  <si>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</si>
  <si>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</si>
  <si>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</si>
  <si>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</si>
  <si>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</si>
  <si>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</si>
  <si>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</si>
  <si>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</si>
  <si>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</si>
  <si>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</si>
  <si>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</si>
  <si>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</si>
  <si>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</si>
  <si>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</si>
  <si>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</si>
  <si>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</si>
  <si>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</si>
  <si>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</si>
  <si>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</si>
  <si>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</si>
  <si>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</si>
  <si>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</si>
  <si>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</si>
  <si>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</si>
  <si>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</si>
  <si>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</si>
  <si>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</si>
  <si>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</si>
  <si>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</si>
  <si>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</si>
  <si>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</si>
  <si>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</si>
  <si>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</si>
  <si>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</si>
  <si>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</si>
  <si>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</si>
  <si>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</si>
  <si>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</si>
  <si>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</si>
  <si>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</si>
  <si>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</si>
  <si>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</si>
  <si>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</si>
  <si>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</si>
  <si>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</si>
  <si>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</si>
  <si>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</si>
  <si>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</si>
  <si>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</si>
  <si>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</si>
  <si>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</si>
  <si>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</si>
  <si>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</si>
  <si>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</si>
  <si>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</si>
  <si>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</si>
  <si>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</si>
  <si>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</si>
  <si>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</si>
  <si>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</si>
  <si>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</si>
  <si>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</si>
  <si>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</si>
  <si>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</si>
  <si>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</si>
  <si>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</si>
  <si>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</si>
  <si>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</si>
  <si>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</si>
  <si>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</si>
  <si>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</si>
  <si>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</si>
  <si>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</si>
  <si>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</si>
  <si>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</si>
  <si>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</si>
  <si>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</si>
  <si>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</si>
  <si>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</si>
  <si>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</si>
  <si>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</si>
  <si>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</si>
  <si>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</si>
  <si>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</si>
  <si>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</si>
  <si>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</si>
  <si>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</si>
  <si>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</si>
  <si>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</si>
  <si>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</si>
  <si>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</si>
  <si>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</si>
  <si>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</si>
  <si>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</si>
  <si>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</si>
  <si>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</si>
  <si>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</si>
  <si>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</si>
  <si>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</si>
  <si>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</si>
  <si>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</si>
  <si>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</si>
  <si>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</si>
  <si>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</si>
  <si>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</si>
  <si>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</si>
  <si>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</si>
  <si>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</si>
  <si>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</si>
  <si>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</si>
  <si>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</si>
  <si>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</si>
  <si>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</si>
  <si>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</si>
  <si>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</si>
  <si>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</si>
  <si>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</si>
  <si>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</si>
  <si>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</si>
  <si>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</si>
  <si>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</si>
  <si>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</si>
  <si>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</si>
  <si>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</si>
  <si>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</si>
  <si>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</si>
  <si>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</si>
  <si>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</si>
  <si>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</si>
  <si>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</si>
  <si>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</si>
  <si>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</si>
  <si>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</si>
  <si>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</si>
  <si>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</si>
  <si>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</si>
  <si>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</si>
  <si>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</si>
  <si>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</si>
  <si>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</si>
  <si>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</si>
  <si>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</si>
  <si>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</si>
  <si>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</si>
  <si>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</si>
  <si>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</si>
  <si>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</si>
  <si>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</si>
  <si>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</si>
  <si>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</si>
  <si>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</si>
  <si>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</si>
  <si>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</si>
  <si>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</si>
  <si>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</si>
  <si>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</si>
  <si>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</si>
  <si>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</si>
  <si>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</si>
  <si>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</si>
  <si>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</si>
  <si>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</si>
  <si>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</si>
  <si>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</si>
  <si>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</si>
  <si>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</si>
  <si>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</si>
  <si>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</si>
  <si>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</si>
  <si>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</si>
  <si>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</si>
  <si>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</si>
  <si>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</si>
  <si>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</si>
  <si>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</si>
  <si>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</si>
  <si>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</si>
  <si>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</si>
  <si>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</si>
  <si>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</si>
  <si>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</si>
  <si>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</si>
  <si>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</si>
  <si>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</si>
  <si>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</si>
  <si>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</si>
  <si>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</si>
  <si>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</si>
  <si>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</si>
  <si>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</si>
  <si>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</si>
  <si>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</si>
  <si>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</si>
  <si>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</si>
  <si>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</si>
  <si>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</si>
  <si>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</si>
  <si>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</si>
  <si>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</si>
  <si>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</si>
  <si>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</si>
  <si>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</si>
  <si>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</si>
  <si>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</si>
  <si>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</si>
  <si>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</si>
  <si>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</si>
  <si>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</si>
  <si>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</si>
  <si>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</si>
  <si>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</si>
  <si>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</si>
  <si>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</si>
  <si>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</si>
  <si>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</si>
  <si>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</si>
  <si>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</si>
  <si>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</si>
  <si>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</si>
  <si>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</si>
  <si>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</si>
  <si>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</si>
  <si>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</si>
  <si>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</si>
  <si>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</si>
  <si>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</si>
  <si>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</si>
  <si>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</si>
  <si>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</si>
  <si>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</si>
  <si>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</si>
  <si>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</si>
  <si>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</si>
  <si>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</si>
  <si>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</si>
  <si>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</si>
  <si>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</si>
  <si>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</si>
  <si>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</si>
  <si>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</si>
  <si>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</si>
  <si>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</si>
  <si>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</si>
  <si>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</si>
  <si>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</si>
  <si>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</si>
  <si>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</si>
  <si>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</si>
  <si>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</si>
  <si>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</si>
  <si>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</si>
  <si>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</si>
  <si>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</si>
  <si>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</si>
  <si>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</si>
  <si>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</si>
  <si>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</si>
  <si>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</si>
  <si>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</si>
  <si>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</si>
  <si>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</si>
  <si>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</si>
  <si>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</si>
  <si>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</si>
  <si>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</si>
  <si>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</si>
  <si>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</si>
  <si>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</si>
  <si>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</si>
  <si>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</si>
  <si>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</si>
  <si>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</si>
  <si>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</si>
  <si>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</si>
  <si>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</si>
  <si>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</si>
  <si>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</si>
  <si>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</si>
  <si>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</si>
  <si>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</si>
  <si>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</si>
  <si>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</si>
  <si>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</si>
  <si>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</si>
  <si>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</si>
  <si>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</si>
  <si>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</si>
  <si>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</si>
  <si>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</si>
  <si>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</si>
  <si>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</si>
  <si>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</si>
  <si>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</si>
  <si>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</si>
  <si>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</si>
  <si>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</si>
  <si>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</si>
  <si>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</si>
  <si>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</si>
  <si>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</si>
  <si>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</si>
  <si>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</si>
  <si>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</si>
  <si>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</si>
  <si>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</si>
  <si>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</si>
  <si>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</si>
  <si>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</si>
  <si>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</si>
  <si>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</si>
  <si>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</si>
  <si>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</si>
  <si>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</si>
  <si>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</si>
  <si>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</si>
  <si>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</si>
  <si>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</si>
  <si>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</si>
  <si>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</si>
  <si>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</si>
  <si>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</si>
  <si>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</si>
  <si>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</si>
  <si>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</si>
  <si>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</si>
  <si>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</si>
  <si>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</si>
  <si>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</si>
  <si>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</si>
  <si>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</si>
  <si>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</si>
  <si>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</si>
  <si>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</si>
  <si>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</si>
  <si>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</si>
  <si>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</si>
  <si>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</si>
  <si>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</si>
  <si>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</si>
  <si>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</si>
  <si>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</si>
  <si>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</si>
  <si>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</si>
  <si>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</si>
  <si>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</si>
  <si>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</si>
  <si>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</si>
  <si>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</si>
  <si>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</si>
  <si>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</si>
  <si>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</si>
  <si>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</si>
  <si>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</si>
  <si>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</si>
  <si>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</si>
  <si>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</si>
  <si>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</si>
  <si>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</si>
  <si>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</si>
  <si>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</si>
  <si>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</si>
  <si>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</si>
  <si>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</si>
  <si>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</si>
  <si>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</si>
  <si>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</si>
  <si>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</si>
  <si>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</si>
  <si>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</si>
  <si>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</si>
  <si>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</si>
  <si>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</si>
  <si>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</si>
  <si>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</si>
  <si>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</si>
  <si>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</si>
  <si>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</si>
  <si>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</si>
  <si>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</si>
  <si>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</si>
  <si>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</si>
  <si>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</si>
  <si>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</si>
  <si>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</si>
  <si>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</si>
  <si>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</si>
  <si>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</si>
  <si>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</si>
  <si>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</si>
  <si>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</si>
  <si>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</si>
  <si>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</si>
  <si>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</si>
  <si>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</si>
  <si>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</si>
  <si>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</si>
  <si>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</si>
  <si>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</si>
  <si>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</si>
  <si>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</si>
  <si>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</si>
  <si>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</si>
  <si>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</si>
  <si>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</si>
  <si>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</si>
  <si>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</si>
  <si>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</si>
  <si>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</si>
  <si>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</si>
  <si>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</si>
  <si>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</si>
  <si>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</si>
  <si>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</si>
  <si>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</si>
  <si>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</si>
  <si>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</si>
  <si>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</si>
  <si>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</si>
  <si>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</si>
  <si>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</si>
  <si>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</si>
  <si>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</si>
  <si>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</si>
  <si>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</si>
  <si>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</si>
  <si>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</si>
  <si>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</si>
  <si>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</si>
  <si>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</si>
  <si>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</si>
  <si>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</si>
  <si>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</si>
  <si>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</si>
  <si>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</si>
  <si>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</si>
  <si>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</si>
  <si>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</si>
  <si>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</si>
  <si>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</si>
  <si>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</si>
  <si>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</si>
  <si>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</si>
  <si>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</si>
  <si>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</si>
  <si>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</si>
  <si>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</si>
  <si>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</si>
  <si>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</si>
  <si>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</si>
  <si>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</si>
  <si>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</si>
  <si>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</si>
  <si>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</si>
  <si>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</si>
  <si>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</si>
  <si>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</si>
  <si>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</si>
  <si>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</si>
  <si>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</si>
  <si>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</si>
  <si>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</si>
  <si>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</si>
  <si>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</si>
  <si>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</si>
  <si>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</si>
  <si>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</si>
  <si>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</si>
  <si>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</si>
  <si>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</si>
  <si>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</si>
  <si>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</si>
  <si>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</si>
  <si>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</si>
  <si>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</si>
  <si>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</si>
  <si>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</si>
  <si>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</si>
  <si>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</si>
  <si>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</si>
  <si>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</si>
  <si>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</si>
  <si>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</si>
  <si>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</si>
  <si>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</si>
  <si>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</si>
  <si>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</si>
  <si>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</si>
  <si>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</si>
  <si>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</si>
  <si>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</si>
  <si>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</si>
  <si>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</si>
  <si>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</si>
  <si>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</si>
  <si>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</si>
  <si>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</si>
  <si>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</si>
  <si>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</si>
  <si>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</si>
  <si>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</si>
  <si>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</si>
  <si>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</si>
  <si>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</si>
  <si>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</si>
  <si>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</si>
  <si>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</si>
  <si>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</si>
  <si>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</si>
  <si>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</si>
  <si>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</si>
  <si>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</si>
  <si>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</si>
  <si>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</si>
  <si>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</si>
  <si>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</si>
  <si>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</si>
  <si>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</si>
  <si>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</si>
  <si>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</si>
  <si>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</si>
  <si>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</si>
  <si>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</si>
  <si>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</si>
  <si>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</si>
  <si>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</si>
  <si>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</si>
  <si>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</si>
  <si>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</si>
  <si>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</si>
  <si>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</si>
  <si>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</si>
  <si>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</si>
  <si>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</si>
  <si>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</si>
  <si>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</si>
  <si>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</si>
  <si>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</si>
  <si>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</si>
  <si>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</si>
  <si>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</si>
  <si>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</si>
  <si>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</si>
  <si>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</si>
  <si>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</si>
  <si>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</si>
  <si>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</si>
  <si>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</si>
  <si>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</si>
  <si>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</si>
  <si>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</si>
  <si>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</si>
  <si>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</si>
  <si>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</si>
  <si>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</si>
  <si>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</si>
  <si>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</si>
  <si>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</si>
  <si>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</si>
  <si>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</si>
  <si>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</si>
  <si>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</si>
  <si>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</si>
  <si>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</si>
  <si>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</si>
  <si>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</si>
  <si>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</si>
  <si>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</si>
  <si>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</si>
  <si>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</si>
  <si>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</si>
  <si>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</si>
  <si>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</si>
  <si>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</si>
  <si>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</si>
  <si>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</si>
  <si>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</si>
  <si>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</si>
  <si>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</si>
  <si>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</si>
  <si>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</si>
  <si>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</si>
  <si>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</si>
  <si>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</si>
  <si>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</si>
  <si>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</si>
  <si>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</si>
  <si>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</si>
  <si>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</si>
  <si>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</si>
  <si>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</si>
  <si>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</si>
  <si>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</si>
  <si>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</si>
  <si>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</si>
  <si>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</si>
  <si>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</si>
  <si>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</si>
  <si>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</si>
  <si>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</si>
  <si>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</si>
  <si>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</si>
  <si>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</si>
  <si>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</si>
  <si>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</si>
  <si>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</si>
  <si>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</si>
  <si>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</si>
  <si>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</si>
  <si>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</si>
  <si>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</si>
  <si>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</si>
  <si>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</si>
  <si>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</si>
  <si>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</si>
  <si>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</si>
  <si>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</si>
  <si>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</si>
  <si>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</si>
  <si>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</si>
  <si>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</si>
  <si>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</si>
  <si>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</si>
  <si>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</si>
  <si>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</si>
  <si>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</si>
  <si>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</si>
  <si>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</si>
  <si>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</si>
  <si>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</si>
  <si>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</si>
  <si>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</si>
  <si>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</si>
  <si>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</si>
  <si>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</si>
  <si>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</si>
  <si>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</si>
  <si>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</si>
  <si>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</si>
  <si>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</si>
  <si>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</si>
  <si>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</si>
  <si>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</si>
  <si>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</si>
  <si>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</si>
  <si>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</si>
  <si>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</si>
  <si>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</si>
  <si>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</si>
  <si>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</si>
  <si>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</si>
  <si>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</si>
  <si>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</si>
  <si>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</si>
  <si>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</si>
  <si>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</si>
  <si>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</si>
  <si>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</si>
  <si>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</si>
  <si>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</si>
  <si>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</si>
  <si>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</si>
  <si>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</si>
  <si>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</si>
  <si>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</si>
  <si>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</si>
  <si>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</si>
  <si>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</si>
  <si>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</si>
  <si>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</si>
  <si>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</si>
  <si>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</si>
  <si>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</si>
  <si>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</si>
  <si>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</si>
  <si>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</si>
  <si>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</si>
  <si>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</si>
  <si>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</si>
  <si>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</si>
  <si>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</si>
  <si>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</si>
  <si>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</si>
  <si>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</si>
  <si>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</si>
  <si>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</si>
  <si>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</si>
  <si>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</si>
  <si>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</si>
  <si>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</si>
  <si>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</si>
  <si>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</si>
  <si>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</si>
  <si>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</si>
  <si>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</si>
  <si>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</si>
  <si>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</si>
  <si>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</si>
  <si>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</si>
  <si>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</si>
  <si>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</si>
  <si>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</si>
  <si>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</si>
  <si>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</si>
  <si>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</si>
  <si>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</si>
  <si>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</si>
  <si>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</si>
  <si>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</si>
  <si>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</si>
  <si>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</si>
  <si>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</si>
  <si>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</si>
  <si>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</si>
  <si>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</si>
  <si>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</si>
  <si>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</si>
  <si>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</si>
  <si>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</si>
  <si>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</si>
  <si>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</si>
  <si>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</si>
  <si>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</si>
  <si>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</si>
  <si>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</si>
  <si>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</si>
  <si>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</si>
  <si>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</si>
  <si>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</si>
  <si>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</si>
  <si>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</si>
  <si>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</si>
  <si>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</si>
  <si>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</si>
  <si>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</si>
  <si>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</si>
  <si>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</si>
  <si>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</si>
  <si>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</si>
  <si>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</si>
  <si>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</si>
  <si>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</si>
  <si>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</si>
  <si>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</si>
  <si>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</si>
  <si>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</si>
  <si>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</si>
  <si>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</si>
  <si>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</si>
  <si>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</si>
  <si>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</si>
  <si>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</si>
  <si>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</si>
  <si>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</si>
  <si>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</si>
  <si>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</si>
  <si>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</si>
  <si>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</si>
  <si>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</si>
  <si>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</si>
  <si>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</si>
  <si>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</si>
  <si>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</si>
  <si>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</si>
  <si>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</si>
  <si>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</si>
  <si>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</si>
  <si>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</si>
  <si>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</si>
  <si>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</si>
  <si>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</si>
  <si>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</si>
  <si>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</si>
  <si>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</si>
  <si>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</si>
  <si>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</si>
  <si>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</si>
  <si>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</si>
  <si>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</si>
  <si>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</si>
  <si>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</si>
  <si>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</si>
  <si>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</si>
  <si>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</si>
  <si>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</si>
  <si>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</si>
  <si>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</si>
  <si>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</si>
  <si>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</si>
  <si>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</si>
  <si>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</si>
  <si>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</si>
  <si>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</si>
  <si>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</si>
  <si>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</si>
  <si>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</si>
  <si>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</si>
  <si>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</si>
  <si>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</si>
  <si>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</si>
  <si>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</si>
  <si>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</si>
  <si>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</si>
  <si>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</si>
  <si>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</si>
  <si>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</si>
  <si>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</si>
  <si>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</si>
  <si>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</si>
  <si>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</si>
  <si>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</si>
  <si>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</si>
  <si>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</si>
  <si>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</si>
  <si>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</si>
  <si>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</si>
  <si>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</si>
  <si>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</si>
  <si>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</si>
  <si>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</si>
  <si>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</si>
  <si>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</si>
  <si>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</si>
  <si>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</si>
  <si>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</si>
  <si>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</si>
  <si>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</si>
  <si>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</si>
  <si>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</si>
  <si>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</si>
  <si>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</si>
  <si>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</si>
  <si>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</si>
  <si>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</si>
  <si>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</si>
  <si>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</si>
  <si>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</si>
  <si>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</si>
  <si>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</si>
  <si>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</si>
  <si>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</si>
  <si>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</si>
  <si>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</si>
  <si>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</si>
  <si>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</si>
  <si>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</si>
  <si>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</si>
  <si>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</si>
  <si>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</si>
  <si>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</si>
  <si>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</si>
  <si>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</si>
  <si>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</si>
  <si>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</si>
  <si>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</si>
  <si>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</si>
  <si>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</si>
  <si>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</si>
  <si>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</si>
  <si>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</si>
  <si>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</si>
  <si>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</si>
  <si>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</si>
  <si>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</si>
  <si>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</si>
  <si>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</si>
  <si>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</si>
  <si>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</si>
  <si>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</si>
  <si>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</si>
  <si>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</si>
  <si>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</si>
  <si>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</si>
  <si>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</si>
  <si>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</si>
  <si>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</si>
  <si>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</si>
  <si>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</si>
  <si>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</si>
  <si>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</si>
  <si>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</si>
  <si>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</si>
  <si>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</si>
  <si>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</si>
  <si>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</si>
  <si>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</si>
  <si>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</si>
  <si>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</si>
  <si>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</si>
  <si>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</si>
  <si>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</si>
  <si>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</si>
  <si>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</si>
  <si>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</si>
  <si>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</si>
  <si>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</si>
  <si>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</si>
  <si>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</si>
  <si>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</si>
  <si>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</si>
  <si>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</si>
  <si>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</si>
  <si>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</si>
  <si>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</si>
  <si>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</si>
  <si>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</si>
  <si>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</si>
  <si>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</si>
  <si>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</si>
  <si>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</si>
  <si>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</si>
  <si>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</si>
  <si>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</si>
  <si>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</si>
  <si>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</si>
  <si>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</si>
  <si>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</si>
  <si>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</si>
  <si>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</si>
  <si>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</si>
  <si>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</si>
  <si>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</si>
  <si>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</si>
  <si>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</si>
  <si>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</si>
  <si>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</si>
  <si>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</si>
  <si>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</si>
  <si>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</si>
  <si>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</si>
  <si>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</si>
  <si>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</si>
  <si>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</si>
  <si>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</si>
  <si>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</si>
  <si>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</si>
  <si>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</si>
  <si>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</si>
  <si>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</si>
  <si>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</si>
  <si>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</si>
  <si>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</si>
  <si>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</si>
  <si>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</si>
  <si>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</si>
  <si>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</si>
  <si>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</si>
  <si>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</si>
  <si>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</si>
  <si>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</si>
  <si>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</si>
  <si>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</si>
  <si>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</si>
  <si>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</si>
  <si>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</si>
  <si>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</si>
  <si>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</si>
  <si>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</si>
  <si>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</si>
  <si>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</si>
  <si>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</si>
  <si>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</si>
  <si>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</si>
  <si>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</si>
  <si>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</si>
  <si>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</si>
  <si>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</si>
  <si>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</si>
  <si>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</si>
  <si>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</si>
  <si>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</si>
  <si>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</si>
  <si>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</si>
  <si>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</si>
  <si>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</si>
  <si>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</si>
  <si>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</si>
  <si>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</si>
  <si>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</si>
  <si>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</si>
  <si>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</si>
  <si>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</si>
  <si>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</si>
  <si>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</si>
  <si>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</si>
  <si>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</si>
  <si>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</si>
  <si>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</si>
  <si>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</si>
  <si>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</si>
  <si>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</si>
  <si>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</si>
  <si>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</si>
  <si>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</si>
  <si>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</si>
  <si>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</si>
  <si>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</si>
  <si>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</si>
  <si>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</si>
  <si>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</si>
  <si>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</si>
  <si>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</si>
  <si>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</si>
  <si>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</si>
  <si>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</si>
  <si>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</si>
  <si>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</si>
  <si>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</si>
  <si>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</si>
  <si>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</si>
  <si>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</si>
  <si>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</si>
  <si>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</si>
  <si>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</si>
  <si>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</si>
  <si>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</si>
  <si>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</si>
  <si>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</si>
  <si>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</si>
  <si>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</si>
  <si>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</si>
  <si>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</si>
  <si>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</si>
  <si>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</si>
  <si>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</si>
  <si>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</si>
  <si>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</si>
  <si>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</si>
  <si>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</si>
  <si>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</si>
  <si>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</si>
  <si>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</si>
  <si>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</si>
  <si>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</si>
  <si>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</si>
  <si>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</si>
  <si>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</si>
  <si>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</si>
  <si>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</si>
  <si>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</si>
  <si>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</si>
  <si>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</si>
  <si>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</si>
  <si>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</si>
  <si>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</si>
  <si>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</si>
  <si>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</si>
  <si>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</si>
  <si>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</si>
  <si>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</si>
  <si>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</si>
  <si>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</si>
  <si>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</si>
  <si>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</si>
  <si>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</si>
  <si>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</si>
  <si>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</si>
  <si>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</si>
  <si>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</si>
  <si>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</si>
  <si>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</si>
  <si>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</si>
  <si>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</si>
  <si>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</si>
  <si>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</si>
  <si>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</si>
  <si>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</si>
  <si>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</si>
  <si>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</si>
  <si>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</si>
  <si>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</si>
  <si>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</si>
  <si>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</si>
  <si>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</si>
  <si>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</si>
  <si>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</si>
  <si>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</si>
  <si>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</si>
  <si>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</si>
  <si>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</si>
  <si>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</si>
  <si>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</si>
  <si>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</si>
  <si>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</si>
  <si>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</si>
  <si>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</si>
  <si>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</si>
  <si>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</si>
  <si>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</si>
  <si>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</si>
  <si>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</si>
  <si>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</si>
  <si>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</si>
  <si>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</si>
  <si>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</si>
  <si>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</si>
  <si>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</si>
  <si>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</si>
  <si>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</si>
  <si>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</si>
  <si>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</si>
  <si>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</si>
  <si>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</si>
  <si>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</si>
  <si>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</si>
  <si>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</si>
  <si>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</si>
  <si>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</si>
  <si>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</si>
  <si>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</si>
  <si>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</si>
  <si>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</si>
  <si>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</si>
  <si>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</si>
  <si>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</si>
  <si>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</si>
  <si>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</si>
  <si>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</si>
  <si>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</si>
  <si>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</si>
  <si>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</si>
  <si>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</si>
  <si>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</si>
  <si>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</si>
  <si>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</si>
  <si>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</si>
  <si>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</si>
  <si>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</si>
  <si>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</si>
  <si>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</si>
  <si>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</si>
  <si>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</si>
  <si>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</si>
  <si>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</si>
  <si>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</si>
  <si>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</si>
  <si>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</si>
  <si>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Kane</t>
  </si>
  <si>
    <t>355 E. Chicago St.</t>
  </si>
  <si>
    <t>Elgin</t>
  </si>
  <si>
    <t>60120-6543</t>
  </si>
  <si>
    <t>Jeff King</t>
  </si>
  <si>
    <t>jeffking@u-46.org</t>
  </si>
  <si>
    <t>847-888-5000</t>
  </si>
  <si>
    <t>847-608-2777</t>
  </si>
  <si>
    <t>RSM US LLP</t>
  </si>
  <si>
    <t>Katie Barry</t>
  </si>
  <si>
    <t>One South Wacker Drive, Ste 800</t>
  </si>
  <si>
    <t>Chicago</t>
  </si>
  <si>
    <t>IL</t>
  </si>
  <si>
    <t>312-634-4415</t>
  </si>
  <si>
    <t>312-634-5523</t>
  </si>
  <si>
    <t>Katie.Barry@rsmus.com</t>
  </si>
  <si>
    <t>SD#300, SD#303, SD U-46 and CCSD#301</t>
  </si>
  <si>
    <t>Revenues 9-14 - 4799 - CTE Perkins - Secondary</t>
  </si>
  <si>
    <t>AUDITCHECK #10 - Unreserved Fund Balance, P5 Cells C39:H39 must be &gt; 0 - This amount equals $0</t>
  </si>
  <si>
    <t>AUDITCHECK #11 Fund (10) ED: Account 3998 must be entered - This joint agreement does not receive On Behalf funds</t>
  </si>
  <si>
    <t xml:space="preserve"> INFO@U-46.ORG</t>
  </si>
  <si>
    <t>See AFR opinion on opinion tab</t>
  </si>
  <si>
    <t>Audit Check #13 - The System had no contracts in fiscal year 2019</t>
  </si>
  <si>
    <t>Financial Report with GAS Report on Internal Controls</t>
  </si>
  <si>
    <t>Signed cover page and tab 32</t>
  </si>
  <si>
    <t>AFR Opinion</t>
  </si>
  <si>
    <t>Northern Kane Co Reg Voc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</si>
</sst>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0">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3" fillId="0" borderId="157" xfId="17" applyFont="1" applyBorder="1" applyAlignment="1" applyProtection="1">
      <alignment horizontal="left" vertical="top" wrapText="1"/>
      <protection locked="0"/>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49" fontId="1" fillId="0" borderId="157" xfId="17" applyNumberFormat="1" applyFont="1" applyBorder="1" applyAlignment="1" applyProtection="1">
      <alignment horizontal="center" vertical="top"/>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6" fillId="0" borderId="0" xfId="0" applyFont="1" applyAlignment="1">
      <alignment horizontal="right"/>
    </xf>
    <xf numFmtId="0" fontId="56" fillId="0" borderId="0" xfId="0" applyFont="1" applyAlignment="1">
      <alignment horizontal="right" vertical="top"/>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249977111117893"/>
  </sheetPr>
  <dimension ref="A1:AB48"/>
  <sheetViews>
    <sheetView showGridLines="0" tabSelected="1" topLeftCell="A4"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7109375" style="26" customWidth="1"/>
    <col min="4" max="4" width="7.5703125" style="26" customWidth="1"/>
    <col min="5" max="5" width="3" style="26" customWidth="1"/>
    <col min="6" max="6" width="7.5703125" style="26" customWidth="1"/>
    <col min="7" max="7" width="8.28515625" style="26" customWidth="1"/>
    <col min="8" max="8" width="8.7109375" style="26" customWidth="1"/>
    <col min="9" max="9" width="1.5703125" style="26" customWidth="1"/>
    <col min="10" max="10" width="3.28515625" style="26" customWidth="1"/>
    <col min="11" max="11" width="5.71093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28515625" style="26" customWidth="1"/>
    <col min="22" max="22" width="4.28515625" style="26" customWidth="1"/>
    <col min="23" max="23" width="5.7109375" style="26" customWidth="1"/>
    <col min="24" max="24" width="4.28515625" style="26" customWidth="1"/>
    <col min="25" max="25" width="8.7109375" style="26" customWidth="1"/>
    <col min="26" max="26" width="7.28515625" style="26" customWidth="1"/>
    <col min="27" max="27" width="9.7109375" style="26" customWidth="1"/>
    <col min="28" max="28" width="3.7109375" style="26" customWidth="1"/>
    <col min="29" max="16384" width="8.7109375" style="26"/>
  </cols>
  <sheetData>
    <row r="1" spans="1:28" ht="12" customHeight="1" x14ac:dyDescent="0.2">
      <c r="A1" s="44" t="s">
        <v>1990</v>
      </c>
      <c r="B1" s="45"/>
      <c r="C1" s="45"/>
      <c r="D1" s="46"/>
      <c r="I1" s="2019" t="s">
        <v>405</v>
      </c>
      <c r="J1" s="2020"/>
      <c r="K1" s="2020"/>
      <c r="L1" s="2020"/>
      <c r="M1" s="2020"/>
      <c r="N1" s="2020"/>
      <c r="O1" s="2020"/>
      <c r="P1" s="2020"/>
      <c r="Q1" s="2020"/>
      <c r="R1" s="2020"/>
      <c r="S1" s="2020"/>
    </row>
    <row r="2" spans="1:28" ht="12" customHeight="1" x14ac:dyDescent="0.2">
      <c r="A2" s="47" t="s">
        <v>1991</v>
      </c>
      <c r="D2" s="48"/>
      <c r="I2" s="2021" t="s">
        <v>979</v>
      </c>
      <c r="J2" s="2020"/>
      <c r="K2" s="2020"/>
      <c r="L2" s="2020"/>
      <c r="M2" s="2020"/>
      <c r="N2" s="2020"/>
      <c r="O2" s="2020"/>
      <c r="P2" s="2020"/>
      <c r="Q2" s="2020"/>
      <c r="R2" s="2020"/>
      <c r="S2" s="2020"/>
    </row>
    <row r="3" spans="1:28" ht="12" customHeight="1" x14ac:dyDescent="0.2">
      <c r="A3" s="155" t="s">
        <v>1943</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c r="C5" s="26" t="s">
        <v>910</v>
      </c>
      <c r="D5" s="84"/>
      <c r="E5" s="84"/>
      <c r="H5" s="38"/>
      <c r="I5" s="2028" t="s">
        <v>680</v>
      </c>
      <c r="J5" s="1973"/>
      <c r="K5" s="1973"/>
      <c r="L5" s="1973"/>
      <c r="M5" s="1973"/>
      <c r="N5" s="1973"/>
      <c r="O5" s="1973"/>
      <c r="P5" s="1973"/>
      <c r="Q5" s="1973"/>
      <c r="R5" s="1973"/>
      <c r="S5" s="1973"/>
    </row>
    <row r="6" spans="1:28" ht="14.1" customHeight="1" x14ac:dyDescent="0.2">
      <c r="B6" s="104" t="s">
        <v>2065</v>
      </c>
      <c r="C6" s="26" t="s">
        <v>911</v>
      </c>
      <c r="D6" s="84"/>
      <c r="E6" s="84"/>
      <c r="I6" s="2027" t="s">
        <v>883</v>
      </c>
      <c r="J6" s="1973"/>
      <c r="K6" s="1973"/>
      <c r="L6" s="1973"/>
      <c r="M6" s="1973"/>
      <c r="N6" s="1973"/>
      <c r="O6" s="1973"/>
      <c r="P6" s="1973"/>
      <c r="Q6" s="1973"/>
      <c r="R6" s="1973"/>
      <c r="S6" s="1973"/>
    </row>
    <row r="7" spans="1:28" ht="12.4"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2065</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31045046046</v>
      </c>
      <c r="B13" s="1990"/>
      <c r="C13" s="1990"/>
      <c r="D13" s="1990"/>
      <c r="E13" s="1990"/>
      <c r="F13" s="1990"/>
      <c r="G13" s="1990"/>
      <c r="H13" s="1991"/>
      <c r="I13" s="31"/>
      <c r="J13" s="30"/>
      <c r="K13" s="28"/>
      <c r="L13" s="30"/>
      <c r="M13" s="30"/>
      <c r="N13" s="30"/>
      <c r="O13" s="30"/>
      <c r="P13" s="30"/>
      <c r="Q13" s="30"/>
      <c r="R13" s="30"/>
      <c r="S13" s="30"/>
      <c r="T13" s="1994" t="s">
        <v>2074</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2066</v>
      </c>
      <c r="B15" s="1992"/>
      <c r="C15" s="1992"/>
      <c r="D15" s="1992"/>
      <c r="E15" s="1992"/>
      <c r="F15" s="1992"/>
      <c r="G15" s="1992"/>
      <c r="H15" s="1993"/>
      <c r="T15" s="1955" t="s">
        <v>2075</v>
      </c>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2092</v>
      </c>
      <c r="B17" s="2017"/>
      <c r="C17" s="2017"/>
      <c r="D17" s="2017"/>
      <c r="E17" s="2017"/>
      <c r="F17" s="2017"/>
      <c r="G17" s="2017"/>
      <c r="H17" s="2018"/>
      <c r="T17" s="2004" t="s">
        <v>2076</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2067</v>
      </c>
      <c r="B19" s="1988"/>
      <c r="C19" s="1988"/>
      <c r="D19" s="1988"/>
      <c r="E19" s="1988"/>
      <c r="F19" s="1988"/>
      <c r="G19" s="1988"/>
      <c r="H19" s="1986"/>
      <c r="I19" s="30"/>
      <c r="J19" s="99"/>
      <c r="K19" s="40"/>
      <c r="L19" s="38"/>
      <c r="M19" s="112" t="s">
        <v>315</v>
      </c>
      <c r="P19" s="27"/>
      <c r="Q19" s="27"/>
      <c r="R19" s="27"/>
      <c r="S19" s="31"/>
      <c r="T19" s="1987" t="s">
        <v>2077</v>
      </c>
      <c r="U19" s="1985"/>
      <c r="V19" s="1985"/>
      <c r="W19" s="1986"/>
      <c r="X19" s="2002" t="s">
        <v>2078</v>
      </c>
      <c r="Y19" s="2003"/>
      <c r="Z19" s="2000">
        <v>60606</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2068</v>
      </c>
      <c r="B21" s="1985"/>
      <c r="C21" s="1985"/>
      <c r="D21" s="1985"/>
      <c r="E21" s="1985"/>
      <c r="F21" s="1985"/>
      <c r="G21" s="1985"/>
      <c r="H21" s="1986"/>
      <c r="I21" s="2010" t="s">
        <v>678</v>
      </c>
      <c r="J21" s="1973"/>
      <c r="K21" s="1973"/>
      <c r="L21" s="1973"/>
      <c r="M21" s="1973"/>
      <c r="N21" s="1973"/>
      <c r="O21" s="1973"/>
      <c r="P21" s="1973"/>
      <c r="Q21" s="1973"/>
      <c r="R21" s="1973"/>
      <c r="S21" s="1974"/>
      <c r="T21" s="1952" t="s">
        <v>2079</v>
      </c>
      <c r="U21" s="1953"/>
      <c r="V21" s="1953"/>
      <c r="W21" s="1953"/>
      <c r="X21" s="1966" t="s">
        <v>2080</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t="s">
        <v>2086</v>
      </c>
      <c r="B23" s="2008"/>
      <c r="C23" s="2008"/>
      <c r="D23" s="2008"/>
      <c r="E23" s="2008"/>
      <c r="F23" s="2008"/>
      <c r="G23" s="2008"/>
      <c r="H23" s="2009"/>
      <c r="T23" s="1947">
        <v>66003346</v>
      </c>
      <c r="U23" s="1948"/>
      <c r="V23" s="1948"/>
      <c r="W23" s="1948"/>
      <c r="X23" s="1963">
        <v>44530</v>
      </c>
      <c r="Y23" s="1964"/>
      <c r="Z23" s="1964"/>
      <c r="AA23" s="1965"/>
    </row>
    <row r="24" spans="1:27" ht="14.1" customHeight="1" x14ac:dyDescent="0.2">
      <c r="A24" s="88" t="s">
        <v>677</v>
      </c>
      <c r="B24" s="49"/>
      <c r="C24" s="49"/>
      <c r="D24" s="49"/>
      <c r="E24" s="49"/>
      <c r="F24" s="49"/>
      <c r="G24" s="49"/>
      <c r="H24" s="61"/>
      <c r="J24" s="2049" t="str">
        <f>IF(B5="x",IF(AUDITCHECK!D29="AFR form Incomplete.","",IF(AUDITCHECK!D29="Deficit reduction plan is required.","School District must complete a deficit reduction plan in the 2019-2020 Budget",)),"")</f>
        <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t="s">
        <v>2069</v>
      </c>
      <c r="B25" s="1985"/>
      <c r="C25" s="1985"/>
      <c r="D25" s="1985"/>
      <c r="E25" s="1985"/>
      <c r="F25" s="1985"/>
      <c r="G25" s="1985"/>
      <c r="H25" s="1986"/>
      <c r="I25" s="113"/>
      <c r="J25" s="2051"/>
      <c r="K25" s="2051"/>
      <c r="L25" s="2051"/>
      <c r="M25" s="2051"/>
      <c r="N25" s="2051"/>
      <c r="O25" s="2051"/>
      <c r="P25" s="2051"/>
      <c r="Q25" s="2051"/>
      <c r="R25" s="2051"/>
      <c r="S25" s="2052"/>
      <c r="T25" s="1944" t="s">
        <v>2081</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2070</v>
      </c>
      <c r="B38" s="2017"/>
      <c r="C38" s="2017"/>
      <c r="D38" s="2017"/>
      <c r="E38" s="2017"/>
      <c r="F38" s="1985"/>
      <c r="G38" s="1985"/>
      <c r="H38" s="1986"/>
      <c r="I38" s="2036"/>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t="s">
        <v>2071</v>
      </c>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6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t="s">
        <v>2072</v>
      </c>
      <c r="B42" s="2034"/>
      <c r="C42" s="2035"/>
      <c r="D42" s="2048" t="s">
        <v>2073</v>
      </c>
      <c r="E42" s="2034"/>
      <c r="F42" s="2034"/>
      <c r="G42" s="2034"/>
      <c r="H42" s="2035"/>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tint="-0.249977111117893"/>
  </sheetPr>
  <dimension ref="A1:F36"/>
  <sheetViews>
    <sheetView showGridLines="0" defaultGridColor="0" colorId="8" zoomScale="110" zoomScaleNormal="110" workbookViewId="0">
      <selection activeCell="B1" sqref="B1"/>
    </sheetView>
  </sheetViews>
  <sheetFormatPr defaultColWidth="9.28515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28515625" style="329"/>
  </cols>
  <sheetData>
    <row r="1" spans="1:6" ht="33.75" customHeight="1" x14ac:dyDescent="0.2">
      <c r="A1" s="1883" t="s">
        <v>104</v>
      </c>
    </row>
    <row r="2" spans="1:6" ht="39.75" customHeight="1" x14ac:dyDescent="0.2">
      <c r="A2" s="2186" t="s">
        <v>1802</v>
      </c>
      <c r="B2" s="1528" t="s">
        <v>1949</v>
      </c>
      <c r="C2" s="714" t="s">
        <v>1950</v>
      </c>
      <c r="D2" s="714" t="s">
        <v>1951</v>
      </c>
      <c r="E2" s="714" t="s">
        <v>1952</v>
      </c>
      <c r="F2" s="714" t="s">
        <v>1953</v>
      </c>
    </row>
    <row r="3" spans="1:6" ht="12" customHeight="1" x14ac:dyDescent="0.2">
      <c r="A3" s="2187"/>
      <c r="B3" s="1525"/>
      <c r="C3" s="1526"/>
      <c r="D3" s="1527" t="s">
        <v>256</v>
      </c>
      <c r="E3" s="1526"/>
      <c r="F3" s="1527" t="s">
        <v>257</v>
      </c>
    </row>
    <row r="4" spans="1:6" ht="13.9" customHeight="1" x14ac:dyDescent="0.2">
      <c r="A4" s="715" t="s">
        <v>1155</v>
      </c>
      <c r="B4" s="1749">
        <f>'Revenues 9-14'!C5</f>
        <v>0</v>
      </c>
      <c r="C4" s="1524"/>
      <c r="D4" s="1752">
        <f>B4-C4</f>
        <v>0</v>
      </c>
      <c r="E4" s="1524"/>
      <c r="F4" s="1752">
        <f>E4-C4</f>
        <v>0</v>
      </c>
    </row>
    <row r="5" spans="1:6" ht="13.9" customHeight="1" x14ac:dyDescent="0.2">
      <c r="A5" s="715" t="s">
        <v>870</v>
      </c>
      <c r="B5" s="1750">
        <f>'Revenues 9-14'!D5</f>
        <v>0</v>
      </c>
      <c r="C5" s="585"/>
      <c r="D5" s="1753">
        <f t="shared" ref="D5:D18" si="0">B5-C5</f>
        <v>0</v>
      </c>
      <c r="E5" s="585"/>
      <c r="F5" s="1753">
        <f>E5-C5</f>
        <v>0</v>
      </c>
    </row>
    <row r="6" spans="1:6" ht="13.9" customHeight="1" x14ac:dyDescent="0.2">
      <c r="A6" s="715" t="s">
        <v>411</v>
      </c>
      <c r="B6" s="1750">
        <f>'Revenues 9-14'!E5</f>
        <v>0</v>
      </c>
      <c r="C6" s="585"/>
      <c r="D6" s="1753">
        <f t="shared" si="0"/>
        <v>0</v>
      </c>
      <c r="E6" s="585"/>
      <c r="F6" s="1753">
        <f t="shared" ref="F6:F18" si="1">E6-C6</f>
        <v>0</v>
      </c>
    </row>
    <row r="7" spans="1:6" ht="13.9" customHeight="1" x14ac:dyDescent="0.2">
      <c r="A7" s="715" t="s">
        <v>155</v>
      </c>
      <c r="B7" s="1750">
        <f>'Revenues 9-14'!F5</f>
        <v>0</v>
      </c>
      <c r="C7" s="585"/>
      <c r="D7" s="1753">
        <f t="shared" si="0"/>
        <v>0</v>
      </c>
      <c r="E7" s="585"/>
      <c r="F7" s="1753">
        <f t="shared" si="1"/>
        <v>0</v>
      </c>
    </row>
    <row r="8" spans="1:6" ht="13.9" customHeight="1" x14ac:dyDescent="0.2">
      <c r="A8" s="715" t="s">
        <v>1179</v>
      </c>
      <c r="B8" s="1750">
        <f>'Revenues 9-14'!G5</f>
        <v>0</v>
      </c>
      <c r="C8" s="585"/>
      <c r="D8" s="1753">
        <f t="shared" si="0"/>
        <v>0</v>
      </c>
      <c r="E8" s="585"/>
      <c r="F8" s="1753">
        <f t="shared" si="1"/>
        <v>0</v>
      </c>
    </row>
    <row r="9" spans="1:6" ht="13.9" customHeight="1" x14ac:dyDescent="0.2">
      <c r="A9" s="715" t="s">
        <v>408</v>
      </c>
      <c r="B9" s="1750">
        <f>'Revenues 9-14'!H5</f>
        <v>0</v>
      </c>
      <c r="C9" s="585"/>
      <c r="D9" s="1753">
        <f t="shared" si="0"/>
        <v>0</v>
      </c>
      <c r="E9" s="585"/>
      <c r="F9" s="1753">
        <f t="shared" si="1"/>
        <v>0</v>
      </c>
    </row>
    <row r="10" spans="1:6" ht="13.9" customHeight="1" x14ac:dyDescent="0.2">
      <c r="A10" s="715" t="s">
        <v>407</v>
      </c>
      <c r="B10" s="1750">
        <f>'Revenues 9-14'!I5</f>
        <v>0</v>
      </c>
      <c r="C10" s="585"/>
      <c r="D10" s="1753">
        <f t="shared" si="0"/>
        <v>0</v>
      </c>
      <c r="E10" s="585"/>
      <c r="F10" s="1753">
        <f t="shared" si="1"/>
        <v>0</v>
      </c>
    </row>
    <row r="11" spans="1:6" x14ac:dyDescent="0.2">
      <c r="A11" s="715" t="s">
        <v>409</v>
      </c>
      <c r="B11" s="1750">
        <f>'Revenues 9-14'!J5</f>
        <v>0</v>
      </c>
      <c r="C11" s="585"/>
      <c r="D11" s="1753">
        <f t="shared" si="0"/>
        <v>0</v>
      </c>
      <c r="E11" s="585"/>
      <c r="F11" s="1753">
        <f t="shared" si="1"/>
        <v>0</v>
      </c>
    </row>
    <row r="12" spans="1:6" ht="13.9" customHeight="1" x14ac:dyDescent="0.2">
      <c r="A12" s="715" t="s">
        <v>157</v>
      </c>
      <c r="B12" s="1750">
        <f>'Revenues 9-14'!K5</f>
        <v>0</v>
      </c>
      <c r="C12" s="585"/>
      <c r="D12" s="1753">
        <f t="shared" si="0"/>
        <v>0</v>
      </c>
      <c r="E12" s="585"/>
      <c r="F12" s="1753">
        <f t="shared" si="1"/>
        <v>0</v>
      </c>
    </row>
    <row r="13" spans="1:6" ht="13.9" customHeight="1" x14ac:dyDescent="0.2">
      <c r="A13" s="715" t="s">
        <v>936</v>
      </c>
      <c r="B13" s="1750">
        <f>SUM('Revenues 9-14'!C6:D6)</f>
        <v>0</v>
      </c>
      <c r="C13" s="585"/>
      <c r="D13" s="1753">
        <f t="shared" si="0"/>
        <v>0</v>
      </c>
      <c r="E13" s="585"/>
      <c r="F13" s="1753">
        <f t="shared" si="1"/>
        <v>0</v>
      </c>
    </row>
    <row r="14" spans="1:6" ht="13.9" customHeight="1" x14ac:dyDescent="0.2">
      <c r="A14" s="715" t="s">
        <v>410</v>
      </c>
      <c r="B14" s="1750">
        <f>SUM('Revenues 9-14'!C7:D7,'Revenues 9-14'!F7:H7)</f>
        <v>0</v>
      </c>
      <c r="C14" s="585"/>
      <c r="D14" s="1753">
        <f t="shared" si="0"/>
        <v>0</v>
      </c>
      <c r="E14" s="585"/>
      <c r="F14" s="1753">
        <f t="shared" si="1"/>
        <v>0</v>
      </c>
    </row>
    <row r="15" spans="1:6" ht="13.9" customHeight="1" x14ac:dyDescent="0.2">
      <c r="A15" s="715" t="s">
        <v>1158</v>
      </c>
      <c r="B15" s="1750">
        <f>SUM('Revenues 9-14'!D9:E9,'Revenues 9-14'!H9)</f>
        <v>0</v>
      </c>
      <c r="C15" s="585"/>
      <c r="D15" s="1753">
        <f t="shared" si="0"/>
        <v>0</v>
      </c>
      <c r="E15" s="585"/>
      <c r="F15" s="1753">
        <f t="shared" si="1"/>
        <v>0</v>
      </c>
    </row>
    <row r="16" spans="1:6" ht="13.9" customHeight="1" x14ac:dyDescent="0.2">
      <c r="A16" s="715" t="s">
        <v>1159</v>
      </c>
      <c r="B16" s="1750">
        <f>'Revenues 9-14'!G8</f>
        <v>0</v>
      </c>
      <c r="C16" s="585"/>
      <c r="D16" s="1753">
        <f t="shared" si="0"/>
        <v>0</v>
      </c>
      <c r="E16" s="585"/>
      <c r="F16" s="1753">
        <f t="shared" si="1"/>
        <v>0</v>
      </c>
    </row>
    <row r="17" spans="1:6" ht="13.9" customHeight="1" x14ac:dyDescent="0.2">
      <c r="A17" s="715" t="s">
        <v>1160</v>
      </c>
      <c r="B17" s="1750">
        <f>'Revenues 9-14'!C10</f>
        <v>0</v>
      </c>
      <c r="C17" s="585"/>
      <c r="D17" s="1753">
        <f t="shared" si="0"/>
        <v>0</v>
      </c>
      <c r="E17" s="585"/>
      <c r="F17" s="1753">
        <f t="shared" si="1"/>
        <v>0</v>
      </c>
    </row>
    <row r="18" spans="1:6" ht="13.9" customHeight="1" x14ac:dyDescent="0.2">
      <c r="A18" s="715" t="s">
        <v>762</v>
      </c>
      <c r="B18" s="1750">
        <f>SUM('Revenues 9-14'!C11:K11)</f>
        <v>0</v>
      </c>
      <c r="C18" s="585"/>
      <c r="D18" s="1753">
        <f t="shared" si="0"/>
        <v>0</v>
      </c>
      <c r="E18" s="585"/>
      <c r="F18" s="1753">
        <f t="shared" si="1"/>
        <v>0</v>
      </c>
    </row>
    <row r="19" spans="1:6" ht="13.9" customHeight="1" thickBot="1" x14ac:dyDescent="0.25">
      <c r="A19" s="1754" t="s">
        <v>1161</v>
      </c>
      <c r="B19" s="1751">
        <f>SUM(B4:B18)</f>
        <v>0</v>
      </c>
      <c r="C19" s="1751">
        <f>SUM(C4:C18)</f>
        <v>0</v>
      </c>
      <c r="D19" s="1751">
        <f>SUM(D4:D18)</f>
        <v>0</v>
      </c>
      <c r="E19" s="1751">
        <f>SUM(E4:E18)</f>
        <v>0</v>
      </c>
      <c r="F19" s="1751">
        <f>SUM(F4:F18)</f>
        <v>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249977111117893"/>
    <pageSetUpPr fitToPage="1"/>
  </sheetPr>
  <dimension ref="A1:K59"/>
  <sheetViews>
    <sheetView showGridLines="0" defaultGridColor="0" topLeftCell="A18" colorId="8" zoomScale="110" zoomScaleNormal="110" workbookViewId="0">
      <selection activeCell="B1" sqref="B1"/>
    </sheetView>
  </sheetViews>
  <sheetFormatPr defaultColWidth="9.28515625" defaultRowHeight="12.75" x14ac:dyDescent="0.2"/>
  <cols>
    <col min="1" max="1" width="44" style="401" customWidth="1"/>
    <col min="2" max="2" width="12.28515625" style="722" customWidth="1"/>
    <col min="3" max="5" width="16.7109375" style="722" customWidth="1"/>
    <col min="6" max="6" width="13.42578125" style="384" customWidth="1"/>
    <col min="7" max="7" width="14.7109375" style="384" customWidth="1"/>
    <col min="8" max="10" width="16.7109375" style="384" customWidth="1"/>
    <col min="11" max="16384" width="9.28515625" style="384"/>
  </cols>
  <sheetData>
    <row r="1" spans="1:7" ht="27" customHeight="1" x14ac:dyDescent="0.2">
      <c r="A1" s="2192" t="s">
        <v>629</v>
      </c>
      <c r="B1" s="2193"/>
      <c r="C1" s="721"/>
    </row>
    <row r="2" spans="1:7" ht="33.75" x14ac:dyDescent="0.2">
      <c r="A2" s="2201" t="s">
        <v>1802</v>
      </c>
      <c r="B2" s="2202"/>
      <c r="C2" s="1884" t="s">
        <v>1954</v>
      </c>
      <c r="D2" s="723" t="s">
        <v>1955</v>
      </c>
      <c r="E2" s="723" t="s">
        <v>1956</v>
      </c>
      <c r="F2" s="1884" t="s">
        <v>1957</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c r="B31" s="733"/>
      <c r="C31" s="734"/>
      <c r="D31" s="735"/>
      <c r="E31" s="734"/>
      <c r="F31" s="734"/>
      <c r="G31" s="734"/>
      <c r="H31" s="734"/>
      <c r="I31" s="1756">
        <f>((E31+F31)-H31)+G31</f>
        <v>0</v>
      </c>
      <c r="J31" s="734"/>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0</v>
      </c>
      <c r="D49" s="745"/>
      <c r="E49" s="1756">
        <f t="shared" ref="E49:J49" si="2">SUM(E31:E48)</f>
        <v>0</v>
      </c>
      <c r="F49" s="1756">
        <f t="shared" si="2"/>
        <v>0</v>
      </c>
      <c r="G49" s="1756">
        <f t="shared" si="2"/>
        <v>0</v>
      </c>
      <c r="H49" s="1756">
        <f t="shared" si="2"/>
        <v>0</v>
      </c>
      <c r="I49" s="1756">
        <f t="shared" si="2"/>
        <v>0</v>
      </c>
      <c r="J49" s="1756">
        <f t="shared" si="2"/>
        <v>0</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theme="0" tint="-0.249977111117893"/>
  </sheetPr>
  <dimension ref="A1:K48"/>
  <sheetViews>
    <sheetView showGridLines="0" defaultGridColor="0" colorId="8" zoomScale="110" zoomScaleNormal="110" workbookViewId="0">
      <selection activeCell="B1" sqref="B1"/>
    </sheetView>
  </sheetViews>
  <sheetFormatPr defaultColWidth="9.28515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28515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28515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1812</v>
      </c>
      <c r="K2" s="762" t="s">
        <v>138</v>
      </c>
    </row>
    <row r="3" spans="1:11" x14ac:dyDescent="0.2">
      <c r="A3" s="2223" t="s">
        <v>1962</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4" t="s">
        <v>1813</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0</v>
      </c>
      <c r="I12" s="1758">
        <f>SUM(I5:I11)</f>
        <v>0</v>
      </c>
      <c r="J12" s="1758">
        <f>SUM(J5:J11)</f>
        <v>0</v>
      </c>
      <c r="K12" s="1758">
        <f>SUM(K5:K11)</f>
        <v>0</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c r="I14" s="771"/>
      <c r="J14" s="773"/>
      <c r="K14" s="765"/>
    </row>
    <row r="15" spans="1:11" x14ac:dyDescent="0.2">
      <c r="A15" s="2217" t="s">
        <v>4</v>
      </c>
      <c r="B15" s="2217"/>
      <c r="C15" s="2217"/>
      <c r="D15" s="2217"/>
      <c r="E15" s="2245"/>
      <c r="F15" s="789" t="s">
        <v>855</v>
      </c>
      <c r="G15" s="771"/>
      <c r="H15" s="764"/>
      <c r="I15" s="764"/>
      <c r="J15" s="765"/>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1809</v>
      </c>
      <c r="B19" s="2252"/>
      <c r="C19" s="2252"/>
      <c r="D19" s="2252"/>
      <c r="E19" s="2253"/>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1815</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0</v>
      </c>
      <c r="I23" s="1758">
        <f>SUM(I14:I16,I21,I22)</f>
        <v>0</v>
      </c>
      <c r="J23" s="1758">
        <f>SUM(J14:J16,J21,J22)</f>
        <v>0</v>
      </c>
      <c r="K23" s="1758">
        <f>SUM(K14:K16,K21,K22)</f>
        <v>0</v>
      </c>
    </row>
    <row r="24" spans="1:11" ht="14.25" thickTop="1" thickBot="1" x14ac:dyDescent="0.25">
      <c r="A24" s="2238" t="s">
        <v>1963</v>
      </c>
      <c r="B24" s="2237"/>
      <c r="C24" s="2237"/>
      <c r="D24" s="2237"/>
      <c r="E24" s="223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0" tint="-0.249977111117893"/>
  </sheetPr>
  <dimension ref="A1:N27"/>
  <sheetViews>
    <sheetView showGridLines="0" defaultGridColor="0" colorId="8" zoomScale="110" zoomScaleNormal="110" workbookViewId="0">
      <selection activeCell="B1" sqref="B1"/>
    </sheetView>
  </sheetViews>
  <sheetFormatPr defaultColWidth="9.28515625" defaultRowHeight="12.75" x14ac:dyDescent="0.2"/>
  <cols>
    <col min="1" max="1" width="28.7109375" style="808" customWidth="1"/>
    <col min="2" max="2" width="5.7109375" style="457" customWidth="1"/>
    <col min="3" max="6" width="12.7109375" style="457" customWidth="1"/>
    <col min="7" max="7" width="6.42578125" style="457" customWidth="1"/>
    <col min="8" max="8" width="14.28515625" style="457" customWidth="1"/>
    <col min="9" max="9" width="12.7109375" style="457" customWidth="1"/>
    <col min="10" max="10" width="16.7109375" style="457" customWidth="1"/>
    <col min="11" max="11" width="15.5703125" style="457" customWidth="1"/>
    <col min="12" max="12" width="13.7109375" style="457" customWidth="1"/>
    <col min="13" max="16384" width="9.28515625" style="457"/>
  </cols>
  <sheetData>
    <row r="1" spans="1:14" ht="33" customHeight="1" x14ac:dyDescent="0.2">
      <c r="A1" s="2256" t="s">
        <v>1908</v>
      </c>
      <c r="B1" s="2257"/>
      <c r="C1" s="2258"/>
      <c r="D1" s="826"/>
      <c r="E1" s="827"/>
      <c r="F1" s="827"/>
      <c r="G1" s="828"/>
      <c r="H1" s="829"/>
      <c r="I1" s="830"/>
      <c r="J1" s="2254"/>
      <c r="K1" s="2255"/>
      <c r="L1" s="2255"/>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c r="D5" s="841"/>
      <c r="E5" s="841"/>
      <c r="F5" s="1760">
        <f>(C5+D5)-E5</f>
        <v>0</v>
      </c>
      <c r="G5" s="837"/>
      <c r="H5" s="842"/>
      <c r="I5" s="842"/>
      <c r="J5" s="842"/>
      <c r="K5" s="793"/>
      <c r="L5" s="1769">
        <f>F5-K5</f>
        <v>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c r="D8" s="844"/>
      <c r="E8" s="844"/>
      <c r="F8" s="1760">
        <f>(C8+D8)-E8</f>
        <v>0</v>
      </c>
      <c r="G8" s="843">
        <v>50</v>
      </c>
      <c r="H8" s="765"/>
      <c r="I8" s="765"/>
      <c r="J8" s="765"/>
      <c r="K8" s="1769">
        <f>(H8+I8)-J8</f>
        <v>0</v>
      </c>
      <c r="L8" s="1769">
        <f>F8-K8</f>
        <v>0</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c r="D10" s="846"/>
      <c r="E10" s="846"/>
      <c r="F10" s="1764">
        <f>(C10+D10)-E10</f>
        <v>0</v>
      </c>
      <c r="G10" s="843">
        <v>20</v>
      </c>
      <c r="H10" s="847"/>
      <c r="I10" s="847"/>
      <c r="J10" s="847"/>
      <c r="K10" s="1769">
        <f>(H10+I10)-J10</f>
        <v>0</v>
      </c>
      <c r="L10" s="1769">
        <f>F10-K10</f>
        <v>0</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c r="D12" s="844"/>
      <c r="E12" s="844"/>
      <c r="F12" s="1760">
        <f>(C12+D12)-E12</f>
        <v>0</v>
      </c>
      <c r="G12" s="843">
        <v>10</v>
      </c>
      <c r="H12" s="765"/>
      <c r="I12" s="765"/>
      <c r="J12" s="765"/>
      <c r="K12" s="1769">
        <f>(H12+I12)-J12</f>
        <v>0</v>
      </c>
      <c r="L12" s="1769">
        <f>F12-K12</f>
        <v>0</v>
      </c>
    </row>
    <row r="13" spans="1:14" ht="14.25" thickTop="1" thickBot="1" x14ac:dyDescent="0.25">
      <c r="A13" s="848" t="s">
        <v>1122</v>
      </c>
      <c r="B13" s="840">
        <v>252</v>
      </c>
      <c r="C13" s="844"/>
      <c r="D13" s="844"/>
      <c r="E13" s="844"/>
      <c r="F13" s="1760">
        <f>(C13+D13)-E13</f>
        <v>0</v>
      </c>
      <c r="G13" s="843">
        <v>5</v>
      </c>
      <c r="H13" s="765"/>
      <c r="I13" s="765"/>
      <c r="J13" s="765"/>
      <c r="K13" s="1769">
        <f>(H13+I13)-J13</f>
        <v>0</v>
      </c>
      <c r="L13" s="1769">
        <f>F13-K13</f>
        <v>0</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0</v>
      </c>
      <c r="D16" s="1760">
        <f>SUM(D3,D5:D6,D8:D10,D12:D15)</f>
        <v>0</v>
      </c>
      <c r="E16" s="1760">
        <f>SUM(E3,E5:E6,E8:E10,E12:E15)</f>
        <v>0</v>
      </c>
      <c r="F16" s="1760">
        <f>SUM(F3,F5:F6,F8:F10,F12:F15)</f>
        <v>0</v>
      </c>
      <c r="G16" s="843"/>
      <c r="H16" s="1760">
        <f>SUM(H3,H6,H8:H10,H12:H14,)</f>
        <v>0</v>
      </c>
      <c r="I16" s="1760">
        <f>SUM(I3,I6,I8:I10,I12:I14,)</f>
        <v>0</v>
      </c>
      <c r="J16" s="1760">
        <f>SUM(J3,J6,J8:J10,J12:J14,)</f>
        <v>0</v>
      </c>
      <c r="K16" s="1760">
        <f>(H16+I16)-J16</f>
        <v>0</v>
      </c>
      <c r="L16" s="1760">
        <f>F16-K16</f>
        <v>0</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13090</v>
      </c>
      <c r="G17" s="837">
        <v>10</v>
      </c>
      <c r="H17" s="769"/>
      <c r="I17" s="1769">
        <f>F17/G17</f>
        <v>1309</v>
      </c>
      <c r="J17" s="769"/>
      <c r="K17" s="795"/>
      <c r="L17" s="795"/>
    </row>
    <row r="18" spans="1:12" ht="14.25" thickTop="1" thickBot="1" x14ac:dyDescent="0.25">
      <c r="A18" s="1767" t="s">
        <v>685</v>
      </c>
      <c r="B18" s="1768"/>
      <c r="C18" s="771"/>
      <c r="D18" s="771"/>
      <c r="E18" s="771"/>
      <c r="F18" s="850"/>
      <c r="G18" s="851"/>
      <c r="H18" s="773"/>
      <c r="I18" s="1760">
        <f>SUM(I16,I17)</f>
        <v>1309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theme="0" tint="-0.249977111117893"/>
  </sheetPr>
  <dimension ref="A1:H202"/>
  <sheetViews>
    <sheetView showGridLines="0" defaultGridColor="0" colorId="8" zoomScale="110" zoomScaleNormal="110" workbookViewId="0">
      <pane ySplit="5" topLeftCell="A6" activePane="bottomLeft" state="frozen"/>
      <selection activeCell="B1" sqref="B1"/>
      <selection pane="bottomLeft" activeCell="B1" sqref="B1"/>
    </sheetView>
  </sheetViews>
  <sheetFormatPr defaultColWidth="8.7109375" defaultRowHeight="11.25" x14ac:dyDescent="0.2"/>
  <cols>
    <col min="1" max="1" width="22.28515625" style="856" customWidth="1"/>
    <col min="2" max="2" width="31.7109375" style="856" customWidth="1"/>
    <col min="3" max="3" width="6.7109375" style="863" customWidth="1"/>
    <col min="4" max="4" width="55.7109375" style="856" customWidth="1"/>
    <col min="5" max="5" width="3.28515625" style="863" customWidth="1"/>
    <col min="6" max="6" width="17.42578125" style="856" customWidth="1"/>
    <col min="7" max="7" width="0.7109375" style="856" customWidth="1"/>
    <col min="8" max="8" width="2.28515625" style="856" customWidth="1"/>
    <col min="9" max="16384" width="8.7109375" style="856"/>
  </cols>
  <sheetData>
    <row r="1" spans="1:7" ht="19.5" customHeight="1" thickTop="1" x14ac:dyDescent="0.2">
      <c r="A1" s="2262" t="s">
        <v>1973</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4"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1529737</v>
      </c>
      <c r="G8" s="865"/>
    </row>
    <row r="9" spans="1:7" x14ac:dyDescent="0.2">
      <c r="A9" s="869" t="s">
        <v>460</v>
      </c>
      <c r="B9" s="870" t="s">
        <v>1876</v>
      </c>
      <c r="C9" s="871"/>
      <c r="D9" s="869" t="s">
        <v>501</v>
      </c>
      <c r="E9" s="868"/>
      <c r="F9" s="1909">
        <f>'Expenditures 15-22'!K151</f>
        <v>0</v>
      </c>
      <c r="G9" s="872"/>
    </row>
    <row r="10" spans="1:7" x14ac:dyDescent="0.2">
      <c r="A10" s="869" t="s">
        <v>499</v>
      </c>
      <c r="B10" s="870" t="s">
        <v>1877</v>
      </c>
      <c r="C10" s="871"/>
      <c r="D10" s="869" t="s">
        <v>501</v>
      </c>
      <c r="E10" s="868"/>
      <c r="F10" s="1909">
        <f>'Expenditures 15-22'!K174</f>
        <v>0</v>
      </c>
      <c r="G10" s="872"/>
    </row>
    <row r="11" spans="1:7" x14ac:dyDescent="0.2">
      <c r="A11" s="869" t="s">
        <v>461</v>
      </c>
      <c r="B11" s="870" t="s">
        <v>1878</v>
      </c>
      <c r="C11" s="871"/>
      <c r="D11" s="869" t="s">
        <v>501</v>
      </c>
      <c r="E11" s="868"/>
      <c r="F11" s="1909">
        <f>'Expenditures 15-22'!K210</f>
        <v>0</v>
      </c>
      <c r="G11" s="872"/>
    </row>
    <row r="12" spans="1:7" x14ac:dyDescent="0.2">
      <c r="A12" s="869" t="s">
        <v>462</v>
      </c>
      <c r="B12" s="870" t="s">
        <v>1879</v>
      </c>
      <c r="C12" s="871"/>
      <c r="D12" s="869" t="s">
        <v>501</v>
      </c>
      <c r="E12" s="868"/>
      <c r="F12" s="1909">
        <f>'Expenditures 15-22'!K295</f>
        <v>0</v>
      </c>
      <c r="G12" s="872"/>
    </row>
    <row r="13" spans="1:7" x14ac:dyDescent="0.2">
      <c r="A13" s="869" t="s">
        <v>106</v>
      </c>
      <c r="B13" s="870" t="s">
        <v>1880</v>
      </c>
      <c r="C13" s="871"/>
      <c r="D13" s="869" t="s">
        <v>501</v>
      </c>
      <c r="E13" s="868"/>
      <c r="F13" s="1909">
        <f>'Expenditures 15-22'!K342</f>
        <v>0</v>
      </c>
      <c r="G13" s="873"/>
    </row>
    <row r="14" spans="1:7" ht="12" customHeight="1" thickBot="1" x14ac:dyDescent="0.25">
      <c r="A14" s="1770"/>
      <c r="B14" s="1771"/>
      <c r="C14" s="1772"/>
      <c r="D14" s="1773" t="s">
        <v>501</v>
      </c>
      <c r="E14" s="1774" t="s">
        <v>958</v>
      </c>
      <c r="F14" s="1775">
        <f>SUM(F8:F13)</f>
        <v>1529737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1287249</v>
      </c>
      <c r="G53" s="865"/>
    </row>
    <row r="54" spans="1:7" x14ac:dyDescent="0.2">
      <c r="A54" s="869" t="s">
        <v>459</v>
      </c>
      <c r="B54" s="869" t="s">
        <v>1476</v>
      </c>
      <c r="C54" s="889" t="s">
        <v>982</v>
      </c>
      <c r="D54" s="885" t="s">
        <v>1095</v>
      </c>
      <c r="E54" s="868"/>
      <c r="F54" s="1913">
        <f>'Expenditures 15-22'!G114</f>
        <v>0</v>
      </c>
      <c r="G54" s="865"/>
    </row>
    <row r="55" spans="1:7" x14ac:dyDescent="0.2">
      <c r="A55" s="869" t="s">
        <v>459</v>
      </c>
      <c r="B55" s="869" t="s">
        <v>1477</v>
      </c>
      <c r="C55" s="889" t="s">
        <v>982</v>
      </c>
      <c r="D55" s="885" t="s">
        <v>291</v>
      </c>
      <c r="E55" s="868"/>
      <c r="F55" s="1913">
        <f>'Expenditures 15-22'!I114</f>
        <v>13090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0</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0</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1300339</v>
      </c>
      <c r="G76" s="865"/>
    </row>
    <row r="77" spans="1:8" s="893" customFormat="1" ht="12" customHeight="1" thickTop="1" thickBot="1" x14ac:dyDescent="0.25">
      <c r="A77" s="1779"/>
      <c r="B77" s="1776"/>
      <c r="C77" s="1772"/>
      <c r="D77" s="1777" t="s">
        <v>1899</v>
      </c>
      <c r="E77" s="1774"/>
      <c r="F77" s="1780">
        <f>(F14-F76)</f>
        <v>229398</v>
      </c>
      <c r="G77" s="869"/>
    </row>
    <row r="78" spans="1:8" s="893" customFormat="1" ht="12" customHeight="1" thickTop="1" x14ac:dyDescent="0.2">
      <c r="A78" s="1781"/>
      <c r="B78" s="1776"/>
      <c r="C78" s="1772"/>
      <c r="D78" s="1777" t="s">
        <v>2060</v>
      </c>
      <c r="E78" s="1774"/>
      <c r="F78" s="898">
        <v>0</v>
      </c>
      <c r="G78" s="899"/>
      <c r="H78" s="869"/>
    </row>
    <row r="79" spans="1:8" s="893" customFormat="1" ht="12" customHeight="1" thickBot="1" x14ac:dyDescent="0.25">
      <c r="A79" s="1782"/>
      <c r="B79" s="1776"/>
      <c r="C79" s="1772"/>
      <c r="D79" s="1777" t="s">
        <v>1900</v>
      </c>
      <c r="E79" s="1774" t="s">
        <v>958</v>
      </c>
      <c r="F79" s="1783"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0</v>
      </c>
      <c r="G94" s="912"/>
    </row>
    <row r="95" spans="1:7" x14ac:dyDescent="0.2">
      <c r="A95" s="908" t="s">
        <v>140</v>
      </c>
      <c r="B95" s="908" t="s">
        <v>175</v>
      </c>
      <c r="C95" s="910">
        <v>1700</v>
      </c>
      <c r="D95" s="918" t="str">
        <f>'Revenues 9-14'!A82</f>
        <v>Total District/School Activity Income</v>
      </c>
      <c r="E95" s="906"/>
      <c r="F95" s="1789">
        <f>SUM('Revenues 9-14'!C82,'Revenues 9-14'!D82)</f>
        <v>0</v>
      </c>
      <c r="G95" s="912"/>
    </row>
    <row r="96" spans="1:7" x14ac:dyDescent="0.2">
      <c r="A96" s="908" t="s">
        <v>459</v>
      </c>
      <c r="B96" s="908" t="s">
        <v>176</v>
      </c>
      <c r="C96" s="910">
        <f>'Revenues 9-14'!B84</f>
        <v>1811</v>
      </c>
      <c r="D96" s="911" t="str">
        <f>'Revenues 9-14'!A84</f>
        <v>Rentals - Regular Textbooks</v>
      </c>
      <c r="E96" s="906"/>
      <c r="F96" s="1789">
        <f>'Revenues 9-14'!C84</f>
        <v>0</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0</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1055541</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0</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0</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0</v>
      </c>
      <c r="G125" s="930"/>
    </row>
    <row r="126" spans="1:7" x14ac:dyDescent="0.2">
      <c r="A126" s="927" t="s">
        <v>668</v>
      </c>
      <c r="B126" s="927" t="s">
        <v>2022</v>
      </c>
      <c r="C126" s="932">
        <v>4300</v>
      </c>
      <c r="D126" s="933" t="str">
        <f>'Revenues 9-14'!A204</f>
        <v>Total Title I</v>
      </c>
      <c r="E126" s="906"/>
      <c r="F126" s="1789">
        <f>SUM('Revenues 9-14'!C204,'Revenues 9-14'!D204,'Revenues 9-14'!F204,'Revenues 9-14'!G204)</f>
        <v>0</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0</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532820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0</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1588361</v>
      </c>
    </row>
    <row r="175" spans="1:7" ht="12" customHeight="1" x14ac:dyDescent="0.2">
      <c r="A175" s="1770"/>
      <c r="B175" s="1784"/>
      <c r="C175" s="1785"/>
      <c r="D175" s="1786" t="s">
        <v>2055</v>
      </c>
      <c r="E175" s="1787"/>
      <c r="F175" s="1789">
        <f>'PCTC-OEPP 27-28'!F77-F174</f>
        <v>-1358963</v>
      </c>
    </row>
    <row r="176" spans="1:7" ht="12" customHeight="1" x14ac:dyDescent="0.2">
      <c r="A176" s="1770"/>
      <c r="B176" s="1784"/>
      <c r="C176" s="1785"/>
      <c r="D176" s="1786" t="s">
        <v>1817</v>
      </c>
      <c r="E176" s="1787"/>
      <c r="F176" s="1789">
        <f>'Cap Outlay Deprec 26'!I18</f>
        <v>1309</v>
      </c>
    </row>
    <row r="177" spans="1:7" ht="12" customHeight="1" x14ac:dyDescent="0.2">
      <c r="A177" s="1770"/>
      <c r="B177" s="1784"/>
      <c r="C177" s="1785"/>
      <c r="D177" s="1786" t="s">
        <v>2056</v>
      </c>
      <c r="E177" s="1787"/>
      <c r="F177" s="1789">
        <f>F175+F176</f>
        <v>-1357654</v>
      </c>
    </row>
    <row r="178" spans="1:7" ht="12" customHeight="1" x14ac:dyDescent="0.2">
      <c r="A178" s="1770"/>
      <c r="B178" s="1790"/>
      <c r="C178" s="1785"/>
      <c r="D178" s="1786" t="str">
        <f>D78</f>
        <v>9 Month ADA from District Average Daily Attendance/Prior General State Aid Inquiry 2018-2019</v>
      </c>
      <c r="E178" s="1787"/>
      <c r="F178" s="1791">
        <f>'PCTC-OEPP 27-28'!F78</f>
        <v>0</v>
      </c>
      <c r="G178" s="930"/>
    </row>
    <row r="179" spans="1:7" ht="12" customHeight="1" thickBot="1" x14ac:dyDescent="0.25">
      <c r="A179" s="1770"/>
      <c r="B179" s="1790"/>
      <c r="C179" s="1785"/>
      <c r="D179" s="1786" t="s">
        <v>2057</v>
      </c>
      <c r="E179" s="1787" t="s">
        <v>1545</v>
      </c>
      <c r="F179" s="1792" t="e">
        <f>F177/F178</f>
        <v>#DIV/0!</v>
      </c>
      <c r="G179" s="856">
        <v>6323</v>
      </c>
    </row>
    <row r="180" spans="1:7" ht="12" thickTop="1" x14ac:dyDescent="0.2">
      <c r="B180" s="930"/>
      <c r="C180" s="949"/>
      <c r="D180" s="930"/>
      <c r="E180" s="949"/>
      <c r="F180" s="930"/>
      <c r="G180" s="951">
        <v>6326</v>
      </c>
    </row>
    <row r="181" spans="1:7" ht="12.4" customHeight="1" x14ac:dyDescent="0.2">
      <c r="A181" s="930" t="s">
        <v>1920</v>
      </c>
      <c r="B181" s="930"/>
      <c r="C181" s="949"/>
      <c r="D181" s="930"/>
      <c r="E181" s="949"/>
      <c r="F181" s="930"/>
      <c r="G181" s="930"/>
    </row>
    <row r="182" spans="1:7" s="1922" customFormat="1" ht="12.4" customHeight="1" x14ac:dyDescent="0.2">
      <c r="A182" s="1922" t="s">
        <v>1992</v>
      </c>
      <c r="B182" s="1923"/>
      <c r="C182" s="1924"/>
      <c r="D182" s="1923"/>
      <c r="E182" s="1924"/>
      <c r="F182" s="1923"/>
      <c r="G182" s="1923"/>
    </row>
    <row r="183" spans="1:7" s="1922" customFormat="1" ht="12.4"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249977111117893"/>
    <pageSetUpPr fitToPage="1"/>
  </sheetPr>
  <dimension ref="A1:H142"/>
  <sheetViews>
    <sheetView showGridLines="0" topLeftCell="A11" zoomScaleNormal="100" workbookViewId="0">
      <selection activeCell="B1" sqref="B1"/>
    </sheetView>
  </sheetViews>
  <sheetFormatPr defaultColWidth="9.28515625"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28515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939" t="s">
        <v>2064</v>
      </c>
      <c r="B6" s="1940"/>
      <c r="C6" s="1940"/>
      <c r="D6" s="1940"/>
      <c r="E6" s="1940"/>
      <c r="F6" s="1940"/>
      <c r="G6" s="1941"/>
    </row>
    <row r="7" spans="1:7" ht="18.75" x14ac:dyDescent="0.25">
      <c r="A7" s="1534" t="s">
        <v>1819</v>
      </c>
      <c r="B7" s="1535"/>
      <c r="C7" s="1535"/>
      <c r="D7" s="1535"/>
      <c r="E7" s="1535"/>
      <c r="F7" s="1535"/>
      <c r="G7" s="1536"/>
    </row>
    <row r="8" spans="1:7" ht="30.75" customHeight="1" x14ac:dyDescent="0.25">
      <c r="A8" s="2279" t="s">
        <v>1931</v>
      </c>
      <c r="B8" s="2280"/>
      <c r="C8" s="2280"/>
      <c r="D8" s="2280"/>
      <c r="E8" s="2280"/>
      <c r="F8" s="2280"/>
      <c r="G8" s="2281"/>
    </row>
    <row r="9" spans="1:7" ht="15.75" customHeight="1" x14ac:dyDescent="0.25">
      <c r="A9" s="2282" t="s">
        <v>1906</v>
      </c>
      <c r="B9" s="2283"/>
      <c r="C9" s="2283"/>
      <c r="D9" s="2283"/>
      <c r="E9" s="2283"/>
      <c r="F9" s="2283"/>
      <c r="G9" s="2284"/>
    </row>
    <row r="10" spans="1:7" ht="35.25" customHeight="1" x14ac:dyDescent="0.25">
      <c r="A10" s="2279" t="s">
        <v>2063</v>
      </c>
      <c r="B10" s="2280"/>
      <c r="C10" s="2280"/>
      <c r="D10" s="2280"/>
      <c r="E10" s="2280"/>
      <c r="F10" s="2280"/>
      <c r="G10" s="2281"/>
    </row>
    <row r="11" spans="1:7" ht="15" customHeight="1" x14ac:dyDescent="0.25">
      <c r="A11" s="1537" t="s">
        <v>1820</v>
      </c>
      <c r="B11" s="1538"/>
      <c r="C11" s="1538"/>
      <c r="D11" s="1538"/>
      <c r="E11" s="1538"/>
      <c r="F11" s="1538"/>
      <c r="G11" s="1539"/>
    </row>
    <row r="12" spans="1:7" ht="17.25" customHeight="1" x14ac:dyDescent="0.25">
      <c r="A12" s="2279" t="s">
        <v>1933</v>
      </c>
      <c r="B12" s="2280"/>
      <c r="C12" s="2280"/>
      <c r="D12" s="2280"/>
      <c r="E12" s="2280"/>
      <c r="F12" s="2280"/>
      <c r="G12" s="2281"/>
    </row>
    <row r="13" spans="1:7" ht="15" customHeight="1" x14ac:dyDescent="0.25">
      <c r="A13" s="1537" t="s">
        <v>1825</v>
      </c>
      <c r="B13" s="1538"/>
      <c r="C13" s="1538"/>
      <c r="D13" s="1538"/>
      <c r="E13" s="1538"/>
      <c r="F13" s="1538"/>
      <c r="G13" s="1539"/>
    </row>
    <row r="14" spans="1:7" ht="32.25" customHeight="1" x14ac:dyDescent="0.25">
      <c r="A14" s="2270" t="s">
        <v>1974</v>
      </c>
      <c r="B14" s="2271"/>
      <c r="C14" s="2271"/>
      <c r="D14" s="2271"/>
      <c r="E14" s="2271"/>
      <c r="F14" s="2271"/>
      <c r="G14" s="2272"/>
    </row>
    <row r="15" spans="1:7" x14ac:dyDescent="0.25">
      <c r="A15" s="1661" t="s">
        <v>1833</v>
      </c>
      <c r="B15" s="1662"/>
      <c r="C15" s="1662"/>
      <c r="D15" s="1662"/>
      <c r="E15" s="1662"/>
      <c r="F15" s="1662"/>
      <c r="G15" s="1663"/>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0"/>
      <c r="B18" s="1937"/>
      <c r="C18" s="1656"/>
      <c r="D18" s="1844"/>
      <c r="E18" s="1540">
        <f t="shared" ref="E18:E142" si="0">IF(D18&lt;=25000,D18,IF(D18&gt;25000,25000,0))</f>
        <v>0</v>
      </c>
      <c r="F18" s="1938">
        <f t="shared" ref="F18:F81"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3">
        <f>IF(F18=0,0,D18-F18)</f>
        <v>0</v>
      </c>
      <c r="H18" s="1647"/>
    </row>
    <row r="19" spans="1:8" x14ac:dyDescent="0.25">
      <c r="A19" s="1653"/>
      <c r="B19" s="1934"/>
      <c r="C19" s="1656"/>
      <c r="D19" s="1844"/>
      <c r="E19" s="1540">
        <f t="shared" ref="E19:E141" si="2">IF(D19&lt;=25000,D19,IF(D19&gt;25000,25000,0))</f>
        <v>0</v>
      </c>
      <c r="F19" s="1938">
        <f t="shared" si="1"/>
        <v>0</v>
      </c>
      <c r="G19" s="1793">
        <f t="shared" ref="G19:G141" si="3">IF(F19=0,0,D19-F19)</f>
        <v>0</v>
      </c>
    </row>
    <row r="20" spans="1:8" x14ac:dyDescent="0.25">
      <c r="A20" s="1653"/>
      <c r="B20" s="1934"/>
      <c r="C20" s="1656"/>
      <c r="D20" s="1844"/>
      <c r="E20" s="1540">
        <f t="shared" si="2"/>
        <v>0</v>
      </c>
      <c r="F20" s="1938">
        <f t="shared" si="1"/>
        <v>0</v>
      </c>
      <c r="G20" s="1793">
        <f t="shared" si="3"/>
        <v>0</v>
      </c>
    </row>
    <row r="21" spans="1:8" x14ac:dyDescent="0.25">
      <c r="A21" s="1653"/>
      <c r="B21" s="1934"/>
      <c r="C21" s="1656"/>
      <c r="D21" s="1844"/>
      <c r="E21" s="1540">
        <f t="shared" si="2"/>
        <v>0</v>
      </c>
      <c r="F21" s="1938">
        <f t="shared" si="1"/>
        <v>0</v>
      </c>
      <c r="G21" s="1793">
        <f t="shared" si="3"/>
        <v>0</v>
      </c>
    </row>
    <row r="22" spans="1:8" x14ac:dyDescent="0.25">
      <c r="A22" s="1653"/>
      <c r="B22" s="1934"/>
      <c r="C22" s="1656"/>
      <c r="D22" s="1844"/>
      <c r="E22" s="1540">
        <f t="shared" si="2"/>
        <v>0</v>
      </c>
      <c r="F22" s="1938">
        <f t="shared" si="1"/>
        <v>0</v>
      </c>
      <c r="G22" s="1793">
        <f t="shared" si="3"/>
        <v>0</v>
      </c>
    </row>
    <row r="23" spans="1:8" x14ac:dyDescent="0.25">
      <c r="A23" s="1653"/>
      <c r="B23" s="1934"/>
      <c r="C23" s="1656"/>
      <c r="D23" s="1844"/>
      <c r="E23" s="1540">
        <f t="shared" si="2"/>
        <v>0</v>
      </c>
      <c r="F23" s="1938">
        <f t="shared" si="1"/>
        <v>0</v>
      </c>
      <c r="G23" s="1793">
        <f t="shared" si="3"/>
        <v>0</v>
      </c>
    </row>
    <row r="24" spans="1:8" x14ac:dyDescent="0.25">
      <c r="A24" s="1653"/>
      <c r="B24" s="1934"/>
      <c r="C24" s="1656"/>
      <c r="D24" s="1844"/>
      <c r="E24" s="1540">
        <f t="shared" si="2"/>
        <v>0</v>
      </c>
      <c r="F24" s="1938">
        <f t="shared" si="1"/>
        <v>0</v>
      </c>
      <c r="G24" s="1793">
        <f t="shared" si="3"/>
        <v>0</v>
      </c>
    </row>
    <row r="25" spans="1:8" x14ac:dyDescent="0.25">
      <c r="A25" s="1653"/>
      <c r="B25" s="1934"/>
      <c r="C25" s="1656"/>
      <c r="D25" s="1844"/>
      <c r="E25" s="1540">
        <f t="shared" si="2"/>
        <v>0</v>
      </c>
      <c r="F25" s="1938">
        <f t="shared" si="1"/>
        <v>0</v>
      </c>
      <c r="G25" s="1793">
        <f t="shared" si="3"/>
        <v>0</v>
      </c>
    </row>
    <row r="26" spans="1:8" x14ac:dyDescent="0.25">
      <c r="A26" s="1653"/>
      <c r="B26" s="1934"/>
      <c r="C26" s="1656"/>
      <c r="D26" s="1844"/>
      <c r="E26" s="1540">
        <f t="shared" si="2"/>
        <v>0</v>
      </c>
      <c r="F26" s="1938">
        <f t="shared" si="1"/>
        <v>0</v>
      </c>
      <c r="G26" s="1793">
        <f t="shared" si="3"/>
        <v>0</v>
      </c>
    </row>
    <row r="27" spans="1:8" x14ac:dyDescent="0.25">
      <c r="A27" s="1653"/>
      <c r="B27" s="1934"/>
      <c r="C27" s="1654"/>
      <c r="D27" s="1844"/>
      <c r="E27" s="1540">
        <f t="shared" si="2"/>
        <v>0</v>
      </c>
      <c r="F27" s="1938">
        <f t="shared" si="1"/>
        <v>0</v>
      </c>
      <c r="G27" s="1793">
        <f t="shared" si="3"/>
        <v>0</v>
      </c>
    </row>
    <row r="28" spans="1:8" x14ac:dyDescent="0.25">
      <c r="A28" s="1653"/>
      <c r="B28" s="1934"/>
      <c r="C28" s="1654"/>
      <c r="D28" s="1844"/>
      <c r="E28" s="1540">
        <f t="shared" si="2"/>
        <v>0</v>
      </c>
      <c r="F28" s="1938">
        <f t="shared" si="1"/>
        <v>0</v>
      </c>
      <c r="G28" s="1793">
        <f t="shared" si="3"/>
        <v>0</v>
      </c>
    </row>
    <row r="29" spans="1:8" x14ac:dyDescent="0.25">
      <c r="A29" s="1653"/>
      <c r="B29" s="1934"/>
      <c r="C29" s="1654"/>
      <c r="D29" s="1844"/>
      <c r="E29" s="1540">
        <f t="shared" si="2"/>
        <v>0</v>
      </c>
      <c r="F29" s="1938">
        <f t="shared" si="1"/>
        <v>0</v>
      </c>
      <c r="G29" s="1793">
        <f t="shared" si="3"/>
        <v>0</v>
      </c>
    </row>
    <row r="30" spans="1:8" x14ac:dyDescent="0.25">
      <c r="A30" s="1653"/>
      <c r="B30" s="1934"/>
      <c r="C30" s="1654"/>
      <c r="D30" s="1844"/>
      <c r="E30" s="1540">
        <f t="shared" si="2"/>
        <v>0</v>
      </c>
      <c r="F30" s="1938">
        <f t="shared" si="1"/>
        <v>0</v>
      </c>
      <c r="G30" s="1793">
        <f t="shared" si="3"/>
        <v>0</v>
      </c>
    </row>
    <row r="31" spans="1:8" x14ac:dyDescent="0.25">
      <c r="A31" s="1653"/>
      <c r="B31" s="1934"/>
      <c r="C31" s="1654"/>
      <c r="D31" s="1844"/>
      <c r="E31" s="1540">
        <f t="shared" si="2"/>
        <v>0</v>
      </c>
      <c r="F31" s="1938">
        <f t="shared" si="1"/>
        <v>0</v>
      </c>
      <c r="G31" s="1793">
        <f t="shared" si="3"/>
        <v>0</v>
      </c>
    </row>
    <row r="32" spans="1:8" x14ac:dyDescent="0.25">
      <c r="A32" s="1653"/>
      <c r="B32" s="1934"/>
      <c r="C32" s="1654"/>
      <c r="D32" s="1844"/>
      <c r="E32" s="1540">
        <f t="shared" si="2"/>
        <v>0</v>
      </c>
      <c r="F32" s="1938">
        <f t="shared" si="1"/>
        <v>0</v>
      </c>
      <c r="G32" s="1793">
        <f t="shared" si="3"/>
        <v>0</v>
      </c>
    </row>
    <row r="33" spans="1:7" x14ac:dyDescent="0.25">
      <c r="A33" s="1653"/>
      <c r="B33" s="1934"/>
      <c r="C33" s="1654"/>
      <c r="D33" s="1844"/>
      <c r="E33" s="1540">
        <f t="shared" si="2"/>
        <v>0</v>
      </c>
      <c r="F33" s="1938">
        <f t="shared" si="1"/>
        <v>0</v>
      </c>
      <c r="G33" s="1793">
        <f t="shared" si="3"/>
        <v>0</v>
      </c>
    </row>
    <row r="34" spans="1:7" x14ac:dyDescent="0.25">
      <c r="A34" s="1653"/>
      <c r="B34" s="1934"/>
      <c r="C34" s="1654"/>
      <c r="D34" s="1844"/>
      <c r="E34" s="1540">
        <f t="shared" si="2"/>
        <v>0</v>
      </c>
      <c r="F34" s="1938">
        <f t="shared" si="1"/>
        <v>0</v>
      </c>
      <c r="G34" s="1793">
        <f t="shared" si="3"/>
        <v>0</v>
      </c>
    </row>
    <row r="35" spans="1:7" x14ac:dyDescent="0.25">
      <c r="A35" s="1653"/>
      <c r="B35" s="1934"/>
      <c r="C35" s="1654"/>
      <c r="D35" s="1844"/>
      <c r="E35" s="1540">
        <f t="shared" si="2"/>
        <v>0</v>
      </c>
      <c r="F35" s="1938">
        <f t="shared" si="1"/>
        <v>0</v>
      </c>
      <c r="G35" s="1793">
        <f t="shared" si="3"/>
        <v>0</v>
      </c>
    </row>
    <row r="36" spans="1:7" x14ac:dyDescent="0.25">
      <c r="A36" s="1653"/>
      <c r="B36" s="1934"/>
      <c r="C36" s="1654"/>
      <c r="D36" s="1844"/>
      <c r="E36" s="1540">
        <f t="shared" si="2"/>
        <v>0</v>
      </c>
      <c r="F36" s="1938">
        <f t="shared" si="1"/>
        <v>0</v>
      </c>
      <c r="G36" s="1793">
        <f t="shared" si="3"/>
        <v>0</v>
      </c>
    </row>
    <row r="37" spans="1:7" x14ac:dyDescent="0.25">
      <c r="A37" s="1653"/>
      <c r="B37" s="1934"/>
      <c r="C37" s="1654"/>
      <c r="D37" s="1844"/>
      <c r="E37" s="1540">
        <f t="shared" si="2"/>
        <v>0</v>
      </c>
      <c r="F37" s="1938">
        <f t="shared" si="1"/>
        <v>0</v>
      </c>
      <c r="G37" s="1793">
        <f t="shared" si="3"/>
        <v>0</v>
      </c>
    </row>
    <row r="38" spans="1:7" x14ac:dyDescent="0.25">
      <c r="A38" s="1653"/>
      <c r="B38" s="1934"/>
      <c r="C38" s="1654"/>
      <c r="D38" s="1844"/>
      <c r="E38" s="1540">
        <f t="shared" si="2"/>
        <v>0</v>
      </c>
      <c r="F38" s="1938">
        <f t="shared" si="1"/>
        <v>0</v>
      </c>
      <c r="G38" s="1793">
        <f t="shared" si="3"/>
        <v>0</v>
      </c>
    </row>
    <row r="39" spans="1:7" x14ac:dyDescent="0.25">
      <c r="A39" s="1653"/>
      <c r="B39" s="1935"/>
      <c r="C39" s="1654"/>
      <c r="D39" s="1844"/>
      <c r="E39" s="1540">
        <f t="shared" si="2"/>
        <v>0</v>
      </c>
      <c r="F39" s="1938">
        <f t="shared" si="1"/>
        <v>0</v>
      </c>
      <c r="G39" s="1793">
        <f t="shared" si="3"/>
        <v>0</v>
      </c>
    </row>
    <row r="40" spans="1:7" x14ac:dyDescent="0.25">
      <c r="A40" s="1653"/>
      <c r="B40" s="1935"/>
      <c r="C40" s="1654"/>
      <c r="D40" s="1844"/>
      <c r="E40" s="1540">
        <f t="shared" si="2"/>
        <v>0</v>
      </c>
      <c r="F40" s="1938">
        <f t="shared" si="1"/>
        <v>0</v>
      </c>
      <c r="G40" s="1793">
        <f t="shared" si="3"/>
        <v>0</v>
      </c>
    </row>
    <row r="41" spans="1:7" x14ac:dyDescent="0.25">
      <c r="A41" s="1653"/>
      <c r="B41" s="1935"/>
      <c r="C41" s="1654"/>
      <c r="D41" s="1844"/>
      <c r="E41" s="1540">
        <f t="shared" si="2"/>
        <v>0</v>
      </c>
      <c r="F41" s="1938">
        <f t="shared" si="1"/>
        <v>0</v>
      </c>
      <c r="G41" s="1793">
        <f t="shared" si="3"/>
        <v>0</v>
      </c>
    </row>
    <row r="42" spans="1:7" x14ac:dyDescent="0.25">
      <c r="A42" s="1653"/>
      <c r="B42" s="1935"/>
      <c r="C42" s="1654"/>
      <c r="D42" s="1844"/>
      <c r="E42" s="1540">
        <f t="shared" si="2"/>
        <v>0</v>
      </c>
      <c r="F42" s="1938">
        <f t="shared" si="1"/>
        <v>0</v>
      </c>
      <c r="G42" s="1793">
        <f t="shared" si="3"/>
        <v>0</v>
      </c>
    </row>
    <row r="43" spans="1:7" x14ac:dyDescent="0.25">
      <c r="A43" s="1653"/>
      <c r="B43" s="1935"/>
      <c r="C43" s="1654"/>
      <c r="D43" s="1844"/>
      <c r="E43" s="1540">
        <f t="shared" si="2"/>
        <v>0</v>
      </c>
      <c r="F43" s="1938">
        <f t="shared" si="1"/>
        <v>0</v>
      </c>
      <c r="G43" s="1793">
        <f t="shared" si="3"/>
        <v>0</v>
      </c>
    </row>
    <row r="44" spans="1:7" x14ac:dyDescent="0.25">
      <c r="A44" s="1653"/>
      <c r="B44" s="1935"/>
      <c r="C44" s="1654"/>
      <c r="D44" s="1844"/>
      <c r="E44" s="1540">
        <f t="shared" si="2"/>
        <v>0</v>
      </c>
      <c r="F44" s="1938">
        <f t="shared" si="1"/>
        <v>0</v>
      </c>
      <c r="G44" s="1793">
        <f t="shared" si="3"/>
        <v>0</v>
      </c>
    </row>
    <row r="45" spans="1:7" x14ac:dyDescent="0.25">
      <c r="A45" s="1653"/>
      <c r="B45" s="1935"/>
      <c r="C45" s="1654"/>
      <c r="D45" s="1844"/>
      <c r="E45" s="1540">
        <f t="shared" si="2"/>
        <v>0</v>
      </c>
      <c r="F45" s="1938">
        <f t="shared" si="1"/>
        <v>0</v>
      </c>
      <c r="G45" s="1793">
        <f t="shared" si="3"/>
        <v>0</v>
      </c>
    </row>
    <row r="46" spans="1:7" x14ac:dyDescent="0.25">
      <c r="A46" s="1653"/>
      <c r="B46" s="1935"/>
      <c r="C46" s="1654"/>
      <c r="D46" s="1844"/>
      <c r="E46" s="1540">
        <f t="shared" si="2"/>
        <v>0</v>
      </c>
      <c r="F46" s="1938">
        <f t="shared" si="1"/>
        <v>0</v>
      </c>
      <c r="G46" s="1793">
        <f t="shared" si="3"/>
        <v>0</v>
      </c>
    </row>
    <row r="47" spans="1:7" x14ac:dyDescent="0.25">
      <c r="A47" s="1653"/>
      <c r="B47" s="1667"/>
      <c r="C47" s="1654"/>
      <c r="D47" s="1844"/>
      <c r="E47" s="1540">
        <f t="shared" si="2"/>
        <v>0</v>
      </c>
      <c r="F47" s="1938">
        <f t="shared" si="1"/>
        <v>0</v>
      </c>
      <c r="G47" s="1793">
        <f t="shared" si="3"/>
        <v>0</v>
      </c>
    </row>
    <row r="48" spans="1:7" x14ac:dyDescent="0.25">
      <c r="A48" s="1653"/>
      <c r="B48" s="1667"/>
      <c r="C48" s="1654"/>
      <c r="D48" s="1844"/>
      <c r="E48" s="1540">
        <f t="shared" si="2"/>
        <v>0</v>
      </c>
      <c r="F48" s="1938">
        <f t="shared" si="1"/>
        <v>0</v>
      </c>
      <c r="G48" s="1793">
        <f t="shared" si="3"/>
        <v>0</v>
      </c>
    </row>
    <row r="49" spans="1:7" x14ac:dyDescent="0.25">
      <c r="A49" s="1653"/>
      <c r="B49" s="1667"/>
      <c r="C49" s="1654"/>
      <c r="D49" s="1844"/>
      <c r="E49" s="1540">
        <f t="shared" si="2"/>
        <v>0</v>
      </c>
      <c r="F49" s="1938">
        <f t="shared" si="1"/>
        <v>0</v>
      </c>
      <c r="G49" s="1793">
        <f t="shared" si="3"/>
        <v>0</v>
      </c>
    </row>
    <row r="50" spans="1:7" x14ac:dyDescent="0.25">
      <c r="A50" s="1653"/>
      <c r="B50" s="1667"/>
      <c r="C50" s="1654"/>
      <c r="D50" s="1844"/>
      <c r="E50" s="1540">
        <f t="shared" si="2"/>
        <v>0</v>
      </c>
      <c r="F50" s="1938">
        <f t="shared" si="1"/>
        <v>0</v>
      </c>
      <c r="G50" s="1793">
        <f t="shared" si="3"/>
        <v>0</v>
      </c>
    </row>
    <row r="51" spans="1:7" x14ac:dyDescent="0.25">
      <c r="A51" s="1653"/>
      <c r="B51" s="1667"/>
      <c r="C51" s="1654"/>
      <c r="D51" s="1844"/>
      <c r="E51" s="1540">
        <f t="shared" si="2"/>
        <v>0</v>
      </c>
      <c r="F51" s="1938">
        <f t="shared" si="1"/>
        <v>0</v>
      </c>
      <c r="G51" s="1793">
        <f t="shared" si="3"/>
        <v>0</v>
      </c>
    </row>
    <row r="52" spans="1:7" x14ac:dyDescent="0.25">
      <c r="A52" s="1653"/>
      <c r="B52" s="1667"/>
      <c r="C52" s="1654"/>
      <c r="D52" s="1844"/>
      <c r="E52" s="1540">
        <f t="shared" si="2"/>
        <v>0</v>
      </c>
      <c r="F52" s="1938">
        <f t="shared" si="1"/>
        <v>0</v>
      </c>
      <c r="G52" s="1793">
        <f t="shared" si="3"/>
        <v>0</v>
      </c>
    </row>
    <row r="53" spans="1:7" x14ac:dyDescent="0.25">
      <c r="A53" s="1653"/>
      <c r="B53" s="1667"/>
      <c r="C53" s="1654"/>
      <c r="D53" s="1844"/>
      <c r="E53" s="1540">
        <f t="shared" si="2"/>
        <v>0</v>
      </c>
      <c r="F53" s="1938">
        <f t="shared" si="1"/>
        <v>0</v>
      </c>
      <c r="G53" s="1793">
        <f t="shared" si="3"/>
        <v>0</v>
      </c>
    </row>
    <row r="54" spans="1:7" x14ac:dyDescent="0.25">
      <c r="A54" s="1653"/>
      <c r="B54" s="1667"/>
      <c r="C54" s="1654"/>
      <c r="D54" s="1844"/>
      <c r="E54" s="1540">
        <f t="shared" si="2"/>
        <v>0</v>
      </c>
      <c r="F54" s="1938">
        <f t="shared" si="1"/>
        <v>0</v>
      </c>
      <c r="G54" s="1793">
        <f t="shared" si="3"/>
        <v>0</v>
      </c>
    </row>
    <row r="55" spans="1:7" x14ac:dyDescent="0.25">
      <c r="A55" s="1653"/>
      <c r="B55" s="1667"/>
      <c r="C55" s="1654"/>
      <c r="D55" s="1844"/>
      <c r="E55" s="1540">
        <f t="shared" si="2"/>
        <v>0</v>
      </c>
      <c r="F55" s="1938">
        <f t="shared" si="1"/>
        <v>0</v>
      </c>
      <c r="G55" s="1793">
        <f t="shared" si="3"/>
        <v>0</v>
      </c>
    </row>
    <row r="56" spans="1:7" x14ac:dyDescent="0.25">
      <c r="A56" s="1653"/>
      <c r="B56" s="1667"/>
      <c r="C56" s="1654"/>
      <c r="D56" s="1844"/>
      <c r="E56" s="1540">
        <f t="shared" si="2"/>
        <v>0</v>
      </c>
      <c r="F56" s="1938">
        <f t="shared" si="1"/>
        <v>0</v>
      </c>
      <c r="G56" s="1793">
        <f t="shared" si="3"/>
        <v>0</v>
      </c>
    </row>
    <row r="57" spans="1:7" x14ac:dyDescent="0.25">
      <c r="A57" s="1653"/>
      <c r="B57" s="1667"/>
      <c r="C57" s="1654"/>
      <c r="D57" s="1844"/>
      <c r="E57" s="1540">
        <f t="shared" si="2"/>
        <v>0</v>
      </c>
      <c r="F57" s="1938">
        <f t="shared" si="1"/>
        <v>0</v>
      </c>
      <c r="G57" s="1793">
        <f t="shared" si="3"/>
        <v>0</v>
      </c>
    </row>
    <row r="58" spans="1:7" x14ac:dyDescent="0.25">
      <c r="A58" s="1653"/>
      <c r="B58" s="1667"/>
      <c r="C58" s="1654"/>
      <c r="D58" s="1844"/>
      <c r="E58" s="1540">
        <f t="shared" si="2"/>
        <v>0</v>
      </c>
      <c r="F58" s="1938">
        <f t="shared" si="1"/>
        <v>0</v>
      </c>
      <c r="G58" s="1793">
        <f t="shared" si="3"/>
        <v>0</v>
      </c>
    </row>
    <row r="59" spans="1:7" x14ac:dyDescent="0.25">
      <c r="A59" s="1653"/>
      <c r="B59" s="1667"/>
      <c r="C59" s="1654"/>
      <c r="D59" s="1844"/>
      <c r="E59" s="1540">
        <f t="shared" si="2"/>
        <v>0</v>
      </c>
      <c r="F59" s="1938">
        <f t="shared" si="1"/>
        <v>0</v>
      </c>
      <c r="G59" s="1793">
        <f t="shared" si="3"/>
        <v>0</v>
      </c>
    </row>
    <row r="60" spans="1:7" x14ac:dyDescent="0.25">
      <c r="A60" s="1653"/>
      <c r="B60" s="1667"/>
      <c r="C60" s="1654"/>
      <c r="D60" s="1844"/>
      <c r="E60" s="1540">
        <f t="shared" si="2"/>
        <v>0</v>
      </c>
      <c r="F60" s="1938">
        <f t="shared" si="1"/>
        <v>0</v>
      </c>
      <c r="G60" s="1793">
        <f t="shared" si="3"/>
        <v>0</v>
      </c>
    </row>
    <row r="61" spans="1:7" x14ac:dyDescent="0.25">
      <c r="A61" s="1653"/>
      <c r="B61" s="1667"/>
      <c r="C61" s="1654"/>
      <c r="D61" s="1844"/>
      <c r="E61" s="1540">
        <f t="shared" si="2"/>
        <v>0</v>
      </c>
      <c r="F61" s="1938">
        <f t="shared" si="1"/>
        <v>0</v>
      </c>
      <c r="G61" s="1793">
        <f t="shared" si="3"/>
        <v>0</v>
      </c>
    </row>
    <row r="62" spans="1:7" x14ac:dyDescent="0.25">
      <c r="A62" s="1653"/>
      <c r="B62" s="1667"/>
      <c r="C62" s="1654"/>
      <c r="D62" s="1844"/>
      <c r="E62" s="1540">
        <f t="shared" si="2"/>
        <v>0</v>
      </c>
      <c r="F62" s="1938">
        <f t="shared" si="1"/>
        <v>0</v>
      </c>
      <c r="G62" s="1793">
        <f t="shared" si="3"/>
        <v>0</v>
      </c>
    </row>
    <row r="63" spans="1:7" x14ac:dyDescent="0.25">
      <c r="A63" s="1653"/>
      <c r="B63" s="1667"/>
      <c r="C63" s="1654"/>
      <c r="D63" s="1844"/>
      <c r="E63" s="1540">
        <f t="shared" si="2"/>
        <v>0</v>
      </c>
      <c r="F63" s="1938">
        <f t="shared" si="1"/>
        <v>0</v>
      </c>
      <c r="G63" s="1793">
        <f t="shared" si="3"/>
        <v>0</v>
      </c>
    </row>
    <row r="64" spans="1:7" x14ac:dyDescent="0.25">
      <c r="A64" s="1653"/>
      <c r="B64" s="1667"/>
      <c r="C64" s="1654"/>
      <c r="D64" s="1844"/>
      <c r="E64" s="1540">
        <f t="shared" si="2"/>
        <v>0</v>
      </c>
      <c r="F64" s="1938">
        <f t="shared" si="1"/>
        <v>0</v>
      </c>
      <c r="G64" s="1793">
        <f t="shared" si="3"/>
        <v>0</v>
      </c>
    </row>
    <row r="65" spans="1:7" x14ac:dyDescent="0.25">
      <c r="A65" s="1655"/>
      <c r="B65" s="1667"/>
      <c r="C65" s="1656"/>
      <c r="D65" s="1844"/>
      <c r="E65" s="1540">
        <f t="shared" si="2"/>
        <v>0</v>
      </c>
      <c r="F65" s="1938">
        <f t="shared" si="1"/>
        <v>0</v>
      </c>
      <c r="G65" s="1793">
        <f t="shared" si="3"/>
        <v>0</v>
      </c>
    </row>
    <row r="66" spans="1:7" x14ac:dyDescent="0.25">
      <c r="A66" s="1653"/>
      <c r="B66" s="1667"/>
      <c r="C66" s="1654"/>
      <c r="D66" s="1844"/>
      <c r="E66" s="1540">
        <f t="shared" si="2"/>
        <v>0</v>
      </c>
      <c r="F66" s="1938">
        <f t="shared" si="1"/>
        <v>0</v>
      </c>
      <c r="G66" s="1793">
        <f t="shared" si="3"/>
        <v>0</v>
      </c>
    </row>
    <row r="67" spans="1:7" x14ac:dyDescent="0.25">
      <c r="A67" s="1653"/>
      <c r="B67" s="1667"/>
      <c r="C67" s="1654"/>
      <c r="D67" s="1844"/>
      <c r="E67" s="1540">
        <f t="shared" si="2"/>
        <v>0</v>
      </c>
      <c r="F67" s="1938">
        <f t="shared" si="1"/>
        <v>0</v>
      </c>
      <c r="G67" s="1793">
        <f t="shared" si="3"/>
        <v>0</v>
      </c>
    </row>
    <row r="68" spans="1:7" x14ac:dyDescent="0.25">
      <c r="A68" s="1653"/>
      <c r="B68" s="1667"/>
      <c r="C68" s="1654"/>
      <c r="D68" s="1844"/>
      <c r="E68" s="1540">
        <f t="shared" si="2"/>
        <v>0</v>
      </c>
      <c r="F68" s="1938">
        <f t="shared" si="1"/>
        <v>0</v>
      </c>
      <c r="G68" s="1793">
        <f t="shared" si="3"/>
        <v>0</v>
      </c>
    </row>
    <row r="69" spans="1:7" x14ac:dyDescent="0.25">
      <c r="A69" s="1653"/>
      <c r="B69" s="1667"/>
      <c r="C69" s="1654"/>
      <c r="D69" s="1844"/>
      <c r="E69" s="1540">
        <f t="shared" si="2"/>
        <v>0</v>
      </c>
      <c r="F69" s="1938">
        <f t="shared" si="1"/>
        <v>0</v>
      </c>
      <c r="G69" s="1793">
        <f t="shared" si="3"/>
        <v>0</v>
      </c>
    </row>
    <row r="70" spans="1:7" x14ac:dyDescent="0.25">
      <c r="A70" s="1653"/>
      <c r="B70" s="1667"/>
      <c r="C70" s="1654"/>
      <c r="D70" s="1844"/>
      <c r="E70" s="1540">
        <f t="shared" si="2"/>
        <v>0</v>
      </c>
      <c r="F70" s="1938">
        <f t="shared" si="1"/>
        <v>0</v>
      </c>
      <c r="G70" s="1793">
        <f t="shared" si="3"/>
        <v>0</v>
      </c>
    </row>
    <row r="71" spans="1:7" x14ac:dyDescent="0.25">
      <c r="A71" s="1653"/>
      <c r="B71" s="1667"/>
      <c r="C71" s="1654"/>
      <c r="D71" s="1844"/>
      <c r="E71" s="1540">
        <f t="shared" si="2"/>
        <v>0</v>
      </c>
      <c r="F71" s="1938">
        <f t="shared" si="1"/>
        <v>0</v>
      </c>
      <c r="G71" s="1793">
        <f t="shared" si="3"/>
        <v>0</v>
      </c>
    </row>
    <row r="72" spans="1:7" x14ac:dyDescent="0.25">
      <c r="A72" s="1653"/>
      <c r="B72" s="1667"/>
      <c r="C72" s="1654"/>
      <c r="D72" s="1844"/>
      <c r="E72" s="1540">
        <f t="shared" si="2"/>
        <v>0</v>
      </c>
      <c r="F72" s="1938">
        <f t="shared" si="1"/>
        <v>0</v>
      </c>
      <c r="G72" s="1793">
        <f t="shared" si="3"/>
        <v>0</v>
      </c>
    </row>
    <row r="73" spans="1:7" x14ac:dyDescent="0.25">
      <c r="A73" s="1653"/>
      <c r="B73" s="1667"/>
      <c r="C73" s="1654"/>
      <c r="D73" s="1844"/>
      <c r="E73" s="1540">
        <f t="shared" si="2"/>
        <v>0</v>
      </c>
      <c r="F73" s="1938">
        <f t="shared" si="1"/>
        <v>0</v>
      </c>
      <c r="G73" s="1793">
        <f t="shared" si="3"/>
        <v>0</v>
      </c>
    </row>
    <row r="74" spans="1:7" x14ac:dyDescent="0.25">
      <c r="A74" s="1653"/>
      <c r="B74" s="1667"/>
      <c r="C74" s="1654"/>
      <c r="D74" s="1844"/>
      <c r="E74" s="1540">
        <f t="shared" ref="E74:E85" si="4">IF(D74&lt;=25000,D74,IF(D74&gt;25000,25000,0))</f>
        <v>0</v>
      </c>
      <c r="F74" s="1938">
        <f t="shared" si="1"/>
        <v>0</v>
      </c>
      <c r="G74" s="1793">
        <f t="shared" ref="G74:G85" si="5">IF(F74=0,0,D74-F74)</f>
        <v>0</v>
      </c>
    </row>
    <row r="75" spans="1:7" x14ac:dyDescent="0.25">
      <c r="A75" s="1653"/>
      <c r="B75" s="1667"/>
      <c r="C75" s="1654"/>
      <c r="D75" s="1844"/>
      <c r="E75" s="1540">
        <f t="shared" si="4"/>
        <v>0</v>
      </c>
      <c r="F75" s="1938">
        <f t="shared" si="1"/>
        <v>0</v>
      </c>
      <c r="G75" s="1793">
        <f t="shared" si="5"/>
        <v>0</v>
      </c>
    </row>
    <row r="76" spans="1:7" x14ac:dyDescent="0.25">
      <c r="A76" s="1653"/>
      <c r="B76" s="1667"/>
      <c r="C76" s="1654"/>
      <c r="D76" s="1844"/>
      <c r="E76" s="1540">
        <f t="shared" si="4"/>
        <v>0</v>
      </c>
      <c r="F76" s="1938">
        <f t="shared" si="1"/>
        <v>0</v>
      </c>
      <c r="G76" s="1793">
        <f t="shared" si="5"/>
        <v>0</v>
      </c>
    </row>
    <row r="77" spans="1:7" x14ac:dyDescent="0.25">
      <c r="A77" s="1653"/>
      <c r="B77" s="1667"/>
      <c r="C77" s="1654"/>
      <c r="D77" s="1844"/>
      <c r="E77" s="1540">
        <f t="shared" si="4"/>
        <v>0</v>
      </c>
      <c r="F77" s="1938">
        <f t="shared" si="1"/>
        <v>0</v>
      </c>
      <c r="G77" s="1793">
        <f t="shared" si="5"/>
        <v>0</v>
      </c>
    </row>
    <row r="78" spans="1:7" x14ac:dyDescent="0.25">
      <c r="A78" s="1653"/>
      <c r="B78" s="1667"/>
      <c r="C78" s="1654"/>
      <c r="D78" s="1844"/>
      <c r="E78" s="1540">
        <f t="shared" si="4"/>
        <v>0</v>
      </c>
      <c r="F78" s="1938">
        <f t="shared" si="1"/>
        <v>0</v>
      </c>
      <c r="G78" s="1793">
        <f t="shared" si="5"/>
        <v>0</v>
      </c>
    </row>
    <row r="79" spans="1:7" x14ac:dyDescent="0.25">
      <c r="A79" s="1653"/>
      <c r="B79" s="1667"/>
      <c r="C79" s="1654"/>
      <c r="D79" s="1844"/>
      <c r="E79" s="1540">
        <f t="shared" si="4"/>
        <v>0</v>
      </c>
      <c r="F79" s="1938">
        <f t="shared" si="1"/>
        <v>0</v>
      </c>
      <c r="G79" s="1793">
        <f t="shared" si="5"/>
        <v>0</v>
      </c>
    </row>
    <row r="80" spans="1:7" x14ac:dyDescent="0.25">
      <c r="A80" s="1653"/>
      <c r="B80" s="1667"/>
      <c r="C80" s="1654"/>
      <c r="D80" s="1844"/>
      <c r="E80" s="1540">
        <f t="shared" si="4"/>
        <v>0</v>
      </c>
      <c r="F80" s="1938">
        <f t="shared" si="1"/>
        <v>0</v>
      </c>
      <c r="G80" s="1793">
        <f t="shared" si="5"/>
        <v>0</v>
      </c>
    </row>
    <row r="81" spans="1:7" x14ac:dyDescent="0.25">
      <c r="A81" s="1653"/>
      <c r="B81" s="1667"/>
      <c r="C81" s="1654"/>
      <c r="D81" s="1844"/>
      <c r="E81" s="1540">
        <f t="shared" si="4"/>
        <v>0</v>
      </c>
      <c r="F81" s="1938">
        <f t="shared" si="1"/>
        <v>0</v>
      </c>
      <c r="G81" s="1793">
        <f t="shared" si="5"/>
        <v>0</v>
      </c>
    </row>
    <row r="82" spans="1:7" x14ac:dyDescent="0.25">
      <c r="A82" s="1653"/>
      <c r="B82" s="1667"/>
      <c r="C82" s="1654"/>
      <c r="D82" s="1844"/>
      <c r="E82" s="1540">
        <f t="shared" si="4"/>
        <v>0</v>
      </c>
      <c r="F82" s="1938">
        <f t="shared" ref="F82:F141" si="6">(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3">
        <f t="shared" si="5"/>
        <v>0</v>
      </c>
    </row>
    <row r="83" spans="1:7" x14ac:dyDescent="0.25">
      <c r="A83" s="1653"/>
      <c r="B83" s="1667"/>
      <c r="C83" s="1654"/>
      <c r="D83" s="1844"/>
      <c r="E83" s="1540">
        <f t="shared" si="4"/>
        <v>0</v>
      </c>
      <c r="F83" s="1938">
        <f t="shared" si="6"/>
        <v>0</v>
      </c>
      <c r="G83" s="1793">
        <f t="shared" si="5"/>
        <v>0</v>
      </c>
    </row>
    <row r="84" spans="1:7" x14ac:dyDescent="0.25">
      <c r="A84" s="1653"/>
      <c r="B84" s="1667"/>
      <c r="C84" s="1654"/>
      <c r="D84" s="1844"/>
      <c r="E84" s="1540">
        <f t="shared" si="4"/>
        <v>0</v>
      </c>
      <c r="F84" s="1938">
        <f t="shared" si="6"/>
        <v>0</v>
      </c>
      <c r="G84" s="1793">
        <f t="shared" si="5"/>
        <v>0</v>
      </c>
    </row>
    <row r="85" spans="1:7" x14ac:dyDescent="0.25">
      <c r="A85" s="1653"/>
      <c r="B85" s="1667"/>
      <c r="C85" s="1654"/>
      <c r="D85" s="1844"/>
      <c r="E85" s="1540">
        <f t="shared" si="4"/>
        <v>0</v>
      </c>
      <c r="F85" s="1938">
        <f t="shared" si="6"/>
        <v>0</v>
      </c>
      <c r="G85" s="1793">
        <f t="shared" si="5"/>
        <v>0</v>
      </c>
    </row>
    <row r="86" spans="1:7" x14ac:dyDescent="0.25">
      <c r="A86" s="1653"/>
      <c r="B86" s="1667"/>
      <c r="C86" s="1654"/>
      <c r="D86" s="1844"/>
      <c r="E86" s="1540">
        <f t="shared" si="2"/>
        <v>0</v>
      </c>
      <c r="F86" s="1938">
        <f t="shared" si="6"/>
        <v>0</v>
      </c>
      <c r="G86" s="1793">
        <f t="shared" si="3"/>
        <v>0</v>
      </c>
    </row>
    <row r="87" spans="1:7" x14ac:dyDescent="0.25">
      <c r="A87" s="1653"/>
      <c r="B87" s="1667"/>
      <c r="C87" s="1654"/>
      <c r="D87" s="1844"/>
      <c r="E87" s="1540">
        <f t="shared" si="2"/>
        <v>0</v>
      </c>
      <c r="F87" s="1938">
        <f t="shared" si="6"/>
        <v>0</v>
      </c>
      <c r="G87" s="1793">
        <f t="shared" si="3"/>
        <v>0</v>
      </c>
    </row>
    <row r="88" spans="1:7" x14ac:dyDescent="0.25">
      <c r="A88" s="1653"/>
      <c r="B88" s="1667"/>
      <c r="C88" s="1654"/>
      <c r="D88" s="1844"/>
      <c r="E88" s="1540">
        <f t="shared" si="2"/>
        <v>0</v>
      </c>
      <c r="F88" s="1938">
        <f t="shared" si="6"/>
        <v>0</v>
      </c>
      <c r="G88" s="1793">
        <f t="shared" si="3"/>
        <v>0</v>
      </c>
    </row>
    <row r="89" spans="1:7" x14ac:dyDescent="0.25">
      <c r="A89" s="1653"/>
      <c r="B89" s="1667"/>
      <c r="C89" s="1654"/>
      <c r="D89" s="1844"/>
      <c r="E89" s="1540">
        <f t="shared" si="2"/>
        <v>0</v>
      </c>
      <c r="F89" s="1938">
        <f t="shared" si="6"/>
        <v>0</v>
      </c>
      <c r="G89" s="1793">
        <f t="shared" si="3"/>
        <v>0</v>
      </c>
    </row>
    <row r="90" spans="1:7" x14ac:dyDescent="0.25">
      <c r="A90" s="1653"/>
      <c r="B90" s="1667"/>
      <c r="C90" s="1654"/>
      <c r="D90" s="1844"/>
      <c r="E90" s="1540">
        <f t="shared" si="2"/>
        <v>0</v>
      </c>
      <c r="F90" s="1938">
        <f t="shared" si="6"/>
        <v>0</v>
      </c>
      <c r="G90" s="1793">
        <f t="shared" si="3"/>
        <v>0</v>
      </c>
    </row>
    <row r="91" spans="1:7" x14ac:dyDescent="0.25">
      <c r="A91" s="1653"/>
      <c r="B91" s="1667"/>
      <c r="C91" s="1654"/>
      <c r="D91" s="1844"/>
      <c r="E91" s="1540">
        <f t="shared" si="2"/>
        <v>0</v>
      </c>
      <c r="F91" s="1938">
        <f t="shared" si="6"/>
        <v>0</v>
      </c>
      <c r="G91" s="1793">
        <f t="shared" si="3"/>
        <v>0</v>
      </c>
    </row>
    <row r="92" spans="1:7" x14ac:dyDescent="0.25">
      <c r="A92" s="1653"/>
      <c r="B92" s="1667"/>
      <c r="C92" s="1654"/>
      <c r="D92" s="1844"/>
      <c r="E92" s="1540">
        <f t="shared" si="2"/>
        <v>0</v>
      </c>
      <c r="F92" s="1938">
        <f t="shared" si="6"/>
        <v>0</v>
      </c>
      <c r="G92" s="1793">
        <f t="shared" si="3"/>
        <v>0</v>
      </c>
    </row>
    <row r="93" spans="1:7" x14ac:dyDescent="0.25">
      <c r="A93" s="1653"/>
      <c r="B93" s="1667"/>
      <c r="C93" s="1654"/>
      <c r="D93" s="1844"/>
      <c r="E93" s="1540">
        <f t="shared" si="2"/>
        <v>0</v>
      </c>
      <c r="F93" s="1938">
        <f t="shared" si="6"/>
        <v>0</v>
      </c>
      <c r="G93" s="1793">
        <f t="shared" si="3"/>
        <v>0</v>
      </c>
    </row>
    <row r="94" spans="1:7" x14ac:dyDescent="0.25">
      <c r="A94" s="1653"/>
      <c r="B94" s="1667"/>
      <c r="C94" s="1654"/>
      <c r="D94" s="1844"/>
      <c r="E94" s="1540">
        <f t="shared" ref="E94" si="7">IF(D94&lt;=25000,D94,IF(D94&gt;25000,25000,0))</f>
        <v>0</v>
      </c>
      <c r="F94" s="1938">
        <f t="shared" si="6"/>
        <v>0</v>
      </c>
      <c r="G94" s="1793">
        <f t="shared" ref="G94" si="8">IF(F94=0,0,D94-F94)</f>
        <v>0</v>
      </c>
    </row>
    <row r="95" spans="1:7" x14ac:dyDescent="0.25">
      <c r="A95" s="1653"/>
      <c r="B95" s="1667"/>
      <c r="C95" s="1654"/>
      <c r="D95" s="1844"/>
      <c r="E95" s="1540">
        <f t="shared" si="2"/>
        <v>0</v>
      </c>
      <c r="F95" s="1938">
        <f t="shared" si="6"/>
        <v>0</v>
      </c>
      <c r="G95" s="1793">
        <f t="shared" si="3"/>
        <v>0</v>
      </c>
    </row>
    <row r="96" spans="1:7" x14ac:dyDescent="0.25">
      <c r="A96" s="1653"/>
      <c r="B96" s="1667"/>
      <c r="C96" s="1654"/>
      <c r="D96" s="1844"/>
      <c r="E96" s="1540">
        <f t="shared" ref="E96:E99" si="9">IF(D96&lt;=25000,D96,IF(D96&gt;25000,25000,0))</f>
        <v>0</v>
      </c>
      <c r="F96" s="1938">
        <f t="shared" si="6"/>
        <v>0</v>
      </c>
      <c r="G96" s="1793">
        <f t="shared" ref="G96:G99" si="10">IF(F96=0,0,D96-F96)</f>
        <v>0</v>
      </c>
    </row>
    <row r="97" spans="1:7" x14ac:dyDescent="0.25">
      <c r="A97" s="1653"/>
      <c r="B97" s="1667"/>
      <c r="C97" s="1654"/>
      <c r="D97" s="1844"/>
      <c r="E97" s="1540">
        <f t="shared" si="9"/>
        <v>0</v>
      </c>
      <c r="F97" s="1938">
        <f t="shared" si="6"/>
        <v>0</v>
      </c>
      <c r="G97" s="1793">
        <f t="shared" si="10"/>
        <v>0</v>
      </c>
    </row>
    <row r="98" spans="1:7" x14ac:dyDescent="0.25">
      <c r="A98" s="1653"/>
      <c r="B98" s="1667"/>
      <c r="C98" s="1654"/>
      <c r="D98" s="1844"/>
      <c r="E98" s="1540">
        <f t="shared" si="9"/>
        <v>0</v>
      </c>
      <c r="F98" s="1938">
        <f t="shared" si="6"/>
        <v>0</v>
      </c>
      <c r="G98" s="1793">
        <f t="shared" si="10"/>
        <v>0</v>
      </c>
    </row>
    <row r="99" spans="1:7" x14ac:dyDescent="0.25">
      <c r="A99" s="1653"/>
      <c r="B99" s="1667"/>
      <c r="C99" s="1654"/>
      <c r="D99" s="1844"/>
      <c r="E99" s="1540">
        <f t="shared" si="9"/>
        <v>0</v>
      </c>
      <c r="F99" s="1938">
        <f t="shared" si="6"/>
        <v>0</v>
      </c>
      <c r="G99" s="1793">
        <f t="shared" si="10"/>
        <v>0</v>
      </c>
    </row>
    <row r="100" spans="1:7" x14ac:dyDescent="0.25">
      <c r="A100" s="1653"/>
      <c r="B100" s="1667"/>
      <c r="C100" s="1654"/>
      <c r="D100" s="1844"/>
      <c r="E100" s="1540">
        <f t="shared" ref="E100" si="11">IF(D100&lt;=25000,D100,IF(D100&gt;25000,25000,0))</f>
        <v>0</v>
      </c>
      <c r="F100" s="1938">
        <f t="shared" si="6"/>
        <v>0</v>
      </c>
      <c r="G100" s="1793">
        <f t="shared" ref="G100" si="12">IF(F100=0,0,D100-F100)</f>
        <v>0</v>
      </c>
    </row>
    <row r="101" spans="1:7" x14ac:dyDescent="0.25">
      <c r="A101" s="1653"/>
      <c r="B101" s="1667"/>
      <c r="C101" s="1654"/>
      <c r="D101" s="1844"/>
      <c r="E101" s="1540">
        <f t="shared" ref="E101:E113" si="13">IF(D101&lt;=25000,D101,IF(D101&gt;25000,25000,0))</f>
        <v>0</v>
      </c>
      <c r="F101" s="1938">
        <f t="shared" si="6"/>
        <v>0</v>
      </c>
      <c r="G101" s="1793">
        <f t="shared" ref="G101:G113" si="14">IF(F101=0,0,D101-F101)</f>
        <v>0</v>
      </c>
    </row>
    <row r="102" spans="1:7" x14ac:dyDescent="0.25">
      <c r="A102" s="1653"/>
      <c r="B102" s="1667"/>
      <c r="C102" s="1654"/>
      <c r="D102" s="1844"/>
      <c r="E102" s="1540">
        <f t="shared" si="13"/>
        <v>0</v>
      </c>
      <c r="F102" s="1938">
        <f t="shared" si="6"/>
        <v>0</v>
      </c>
      <c r="G102" s="1793">
        <f t="shared" si="14"/>
        <v>0</v>
      </c>
    </row>
    <row r="103" spans="1:7" x14ac:dyDescent="0.25">
      <c r="A103" s="1653"/>
      <c r="B103" s="1667"/>
      <c r="C103" s="1654"/>
      <c r="D103" s="1844"/>
      <c r="E103" s="1540">
        <f t="shared" si="13"/>
        <v>0</v>
      </c>
      <c r="F103" s="1938">
        <f t="shared" si="6"/>
        <v>0</v>
      </c>
      <c r="G103" s="1793">
        <f t="shared" si="14"/>
        <v>0</v>
      </c>
    </row>
    <row r="104" spans="1:7" x14ac:dyDescent="0.25">
      <c r="A104" s="1653"/>
      <c r="B104" s="1667"/>
      <c r="C104" s="1654"/>
      <c r="D104" s="1844"/>
      <c r="E104" s="1540">
        <f t="shared" si="13"/>
        <v>0</v>
      </c>
      <c r="F104" s="1938">
        <f t="shared" si="6"/>
        <v>0</v>
      </c>
      <c r="G104" s="1793">
        <f t="shared" si="14"/>
        <v>0</v>
      </c>
    </row>
    <row r="105" spans="1:7" x14ac:dyDescent="0.25">
      <c r="A105" s="1653"/>
      <c r="B105" s="1667"/>
      <c r="C105" s="1654"/>
      <c r="D105" s="1844"/>
      <c r="E105" s="1540">
        <f t="shared" si="13"/>
        <v>0</v>
      </c>
      <c r="F105" s="1938">
        <f t="shared" si="6"/>
        <v>0</v>
      </c>
      <c r="G105" s="1793">
        <f t="shared" si="14"/>
        <v>0</v>
      </c>
    </row>
    <row r="106" spans="1:7" x14ac:dyDescent="0.25">
      <c r="A106" s="1653"/>
      <c r="B106" s="1667"/>
      <c r="C106" s="1654"/>
      <c r="D106" s="1844"/>
      <c r="E106" s="1540">
        <f t="shared" si="13"/>
        <v>0</v>
      </c>
      <c r="F106" s="1938">
        <f t="shared" si="6"/>
        <v>0</v>
      </c>
      <c r="G106" s="1793">
        <f t="shared" si="14"/>
        <v>0</v>
      </c>
    </row>
    <row r="107" spans="1:7" x14ac:dyDescent="0.25">
      <c r="A107" s="1653"/>
      <c r="B107" s="1667"/>
      <c r="C107" s="1654"/>
      <c r="D107" s="1844"/>
      <c r="E107" s="1540">
        <f t="shared" si="13"/>
        <v>0</v>
      </c>
      <c r="F107" s="1938">
        <f t="shared" si="6"/>
        <v>0</v>
      </c>
      <c r="G107" s="1793">
        <f t="shared" si="14"/>
        <v>0</v>
      </c>
    </row>
    <row r="108" spans="1:7" x14ac:dyDescent="0.25">
      <c r="A108" s="1653"/>
      <c r="B108" s="1667"/>
      <c r="C108" s="1654"/>
      <c r="D108" s="1844"/>
      <c r="E108" s="1540">
        <f t="shared" si="13"/>
        <v>0</v>
      </c>
      <c r="F108" s="1938">
        <f t="shared" si="6"/>
        <v>0</v>
      </c>
      <c r="G108" s="1793">
        <f t="shared" si="14"/>
        <v>0</v>
      </c>
    </row>
    <row r="109" spans="1:7" x14ac:dyDescent="0.25">
      <c r="A109" s="1653"/>
      <c r="B109" s="1667"/>
      <c r="C109" s="1654"/>
      <c r="D109" s="1844"/>
      <c r="E109" s="1540">
        <f t="shared" si="13"/>
        <v>0</v>
      </c>
      <c r="F109" s="1938">
        <f t="shared" si="6"/>
        <v>0</v>
      </c>
      <c r="G109" s="1793">
        <f t="shared" si="14"/>
        <v>0</v>
      </c>
    </row>
    <row r="110" spans="1:7" x14ac:dyDescent="0.25">
      <c r="A110" s="1653"/>
      <c r="B110" s="1667"/>
      <c r="C110" s="1654"/>
      <c r="D110" s="1844"/>
      <c r="E110" s="1540">
        <f t="shared" si="13"/>
        <v>0</v>
      </c>
      <c r="F110" s="1938">
        <f t="shared" si="6"/>
        <v>0</v>
      </c>
      <c r="G110" s="1793">
        <f t="shared" si="14"/>
        <v>0</v>
      </c>
    </row>
    <row r="111" spans="1:7" x14ac:dyDescent="0.25">
      <c r="A111" s="1653"/>
      <c r="B111" s="1667"/>
      <c r="C111" s="1654"/>
      <c r="D111" s="1844"/>
      <c r="E111" s="1540">
        <f t="shared" si="13"/>
        <v>0</v>
      </c>
      <c r="F111" s="1938">
        <f t="shared" si="6"/>
        <v>0</v>
      </c>
      <c r="G111" s="1793">
        <f t="shared" si="14"/>
        <v>0</v>
      </c>
    </row>
    <row r="112" spans="1:7" x14ac:dyDescent="0.25">
      <c r="A112" s="1653"/>
      <c r="B112" s="1667"/>
      <c r="C112" s="1654"/>
      <c r="D112" s="1844"/>
      <c r="E112" s="1540">
        <f t="shared" si="13"/>
        <v>0</v>
      </c>
      <c r="F112" s="1938">
        <f t="shared" si="6"/>
        <v>0</v>
      </c>
      <c r="G112" s="1793">
        <f t="shared" si="14"/>
        <v>0</v>
      </c>
    </row>
    <row r="113" spans="1:7" x14ac:dyDescent="0.25">
      <c r="A113" s="1653"/>
      <c r="B113" s="1667"/>
      <c r="C113" s="1654"/>
      <c r="D113" s="1844"/>
      <c r="E113" s="1540">
        <f t="shared" si="13"/>
        <v>0</v>
      </c>
      <c r="F113" s="1938">
        <f t="shared" si="6"/>
        <v>0</v>
      </c>
      <c r="G113" s="1793">
        <f t="shared" si="14"/>
        <v>0</v>
      </c>
    </row>
    <row r="114" spans="1:7" x14ac:dyDescent="0.25">
      <c r="A114" s="1653"/>
      <c r="B114" s="1667"/>
      <c r="C114" s="1654"/>
      <c r="D114" s="1844"/>
      <c r="E114" s="1540">
        <f t="shared" ref="E114:E126" si="15">IF(D114&lt;=25000,D114,IF(D114&gt;25000,25000,0))</f>
        <v>0</v>
      </c>
      <c r="F114" s="1938">
        <f t="shared" si="6"/>
        <v>0</v>
      </c>
      <c r="G114" s="1793">
        <f t="shared" ref="G114:G126" si="16">IF(F114=0,0,D114-F114)</f>
        <v>0</v>
      </c>
    </row>
    <row r="115" spans="1:7" x14ac:dyDescent="0.25">
      <c r="A115" s="1653"/>
      <c r="B115" s="1667"/>
      <c r="C115" s="1654"/>
      <c r="D115" s="1844"/>
      <c r="E115" s="1540">
        <f t="shared" si="15"/>
        <v>0</v>
      </c>
      <c r="F115" s="1938">
        <f t="shared" si="6"/>
        <v>0</v>
      </c>
      <c r="G115" s="1793">
        <f t="shared" si="16"/>
        <v>0</v>
      </c>
    </row>
    <row r="116" spans="1:7" x14ac:dyDescent="0.25">
      <c r="A116" s="1653"/>
      <c r="B116" s="1667"/>
      <c r="C116" s="1654"/>
      <c r="D116" s="1844"/>
      <c r="E116" s="1540">
        <f t="shared" si="15"/>
        <v>0</v>
      </c>
      <c r="F116" s="1938">
        <f t="shared" si="6"/>
        <v>0</v>
      </c>
      <c r="G116" s="1793">
        <f t="shared" si="16"/>
        <v>0</v>
      </c>
    </row>
    <row r="117" spans="1:7" x14ac:dyDescent="0.25">
      <c r="A117" s="1653"/>
      <c r="B117" s="1667"/>
      <c r="C117" s="1654"/>
      <c r="D117" s="1844"/>
      <c r="E117" s="1540">
        <f t="shared" si="15"/>
        <v>0</v>
      </c>
      <c r="F117" s="1938">
        <f t="shared" si="6"/>
        <v>0</v>
      </c>
      <c r="G117" s="1793">
        <f t="shared" si="16"/>
        <v>0</v>
      </c>
    </row>
    <row r="118" spans="1:7" x14ac:dyDescent="0.25">
      <c r="A118" s="1653"/>
      <c r="B118" s="1667"/>
      <c r="C118" s="1654"/>
      <c r="D118" s="1844"/>
      <c r="E118" s="1540">
        <f t="shared" si="15"/>
        <v>0</v>
      </c>
      <c r="F118" s="1938">
        <f t="shared" si="6"/>
        <v>0</v>
      </c>
      <c r="G118" s="1793">
        <f t="shared" si="16"/>
        <v>0</v>
      </c>
    </row>
    <row r="119" spans="1:7" x14ac:dyDescent="0.25">
      <c r="A119" s="1653"/>
      <c r="B119" s="1667"/>
      <c r="C119" s="1654"/>
      <c r="D119" s="1844"/>
      <c r="E119" s="1540">
        <f t="shared" si="15"/>
        <v>0</v>
      </c>
      <c r="F119" s="1938">
        <f t="shared" si="6"/>
        <v>0</v>
      </c>
      <c r="G119" s="1793">
        <f t="shared" si="16"/>
        <v>0</v>
      </c>
    </row>
    <row r="120" spans="1:7" x14ac:dyDescent="0.25">
      <c r="A120" s="1653"/>
      <c r="B120" s="1667"/>
      <c r="C120" s="1654"/>
      <c r="D120" s="1844"/>
      <c r="E120" s="1540">
        <f t="shared" si="15"/>
        <v>0</v>
      </c>
      <c r="F120" s="1938">
        <f t="shared" si="6"/>
        <v>0</v>
      </c>
      <c r="G120" s="1793">
        <f t="shared" si="16"/>
        <v>0</v>
      </c>
    </row>
    <row r="121" spans="1:7" x14ac:dyDescent="0.25">
      <c r="A121" s="1653"/>
      <c r="B121" s="1667"/>
      <c r="C121" s="1654"/>
      <c r="D121" s="1844"/>
      <c r="E121" s="1540">
        <f t="shared" si="15"/>
        <v>0</v>
      </c>
      <c r="F121" s="1938">
        <f t="shared" si="6"/>
        <v>0</v>
      </c>
      <c r="G121" s="1793">
        <f t="shared" si="16"/>
        <v>0</v>
      </c>
    </row>
    <row r="122" spans="1:7" x14ac:dyDescent="0.25">
      <c r="A122" s="1653"/>
      <c r="B122" s="1667"/>
      <c r="C122" s="1654"/>
      <c r="D122" s="1844"/>
      <c r="E122" s="1540">
        <f t="shared" si="15"/>
        <v>0</v>
      </c>
      <c r="F122" s="1938">
        <f t="shared" si="6"/>
        <v>0</v>
      </c>
      <c r="G122" s="1793">
        <f t="shared" si="16"/>
        <v>0</v>
      </c>
    </row>
    <row r="123" spans="1:7" x14ac:dyDescent="0.25">
      <c r="A123" s="1653"/>
      <c r="B123" s="1667"/>
      <c r="C123" s="1654"/>
      <c r="D123" s="1844"/>
      <c r="E123" s="1540">
        <f t="shared" si="15"/>
        <v>0</v>
      </c>
      <c r="F123" s="1938">
        <f t="shared" si="6"/>
        <v>0</v>
      </c>
      <c r="G123" s="1793">
        <f t="shared" si="16"/>
        <v>0</v>
      </c>
    </row>
    <row r="124" spans="1:7" x14ac:dyDescent="0.25">
      <c r="A124" s="1653"/>
      <c r="B124" s="1667"/>
      <c r="C124" s="1654"/>
      <c r="D124" s="1844"/>
      <c r="E124" s="1540">
        <f t="shared" si="15"/>
        <v>0</v>
      </c>
      <c r="F124" s="1938">
        <f t="shared" si="6"/>
        <v>0</v>
      </c>
      <c r="G124" s="1793">
        <f t="shared" si="16"/>
        <v>0</v>
      </c>
    </row>
    <row r="125" spans="1:7" x14ac:dyDescent="0.25">
      <c r="A125" s="1653"/>
      <c r="B125" s="1667"/>
      <c r="C125" s="1654"/>
      <c r="D125" s="1844"/>
      <c r="E125" s="1540">
        <f t="shared" si="15"/>
        <v>0</v>
      </c>
      <c r="F125" s="1938">
        <f t="shared" si="6"/>
        <v>0</v>
      </c>
      <c r="G125" s="1793">
        <f t="shared" si="16"/>
        <v>0</v>
      </c>
    </row>
    <row r="126" spans="1:7" x14ac:dyDescent="0.25">
      <c r="A126" s="1653"/>
      <c r="B126" s="1667"/>
      <c r="C126" s="1654"/>
      <c r="D126" s="1844"/>
      <c r="E126" s="1540">
        <f t="shared" si="15"/>
        <v>0</v>
      </c>
      <c r="F126" s="1938">
        <f t="shared" si="6"/>
        <v>0</v>
      </c>
      <c r="G126" s="1793">
        <f t="shared" si="16"/>
        <v>0</v>
      </c>
    </row>
    <row r="127" spans="1:7" x14ac:dyDescent="0.25">
      <c r="A127" s="1653"/>
      <c r="B127" s="1667"/>
      <c r="C127" s="1654"/>
      <c r="D127" s="1844"/>
      <c r="E127" s="1540">
        <f t="shared" ref="E127:E135" si="17">IF(D127&lt;=25000,D127,IF(D127&gt;25000,25000,0))</f>
        <v>0</v>
      </c>
      <c r="F127" s="1938">
        <f t="shared" si="6"/>
        <v>0</v>
      </c>
      <c r="G127" s="1793">
        <f t="shared" ref="G127:G135" si="18">IF(F127=0,0,D127-F127)</f>
        <v>0</v>
      </c>
    </row>
    <row r="128" spans="1:7" x14ac:dyDescent="0.25">
      <c r="A128" s="1653"/>
      <c r="B128" s="1667"/>
      <c r="C128" s="1654"/>
      <c r="D128" s="1844"/>
      <c r="E128" s="1540">
        <f t="shared" si="17"/>
        <v>0</v>
      </c>
      <c r="F128" s="1938">
        <f t="shared" si="6"/>
        <v>0</v>
      </c>
      <c r="G128" s="1793">
        <f t="shared" si="18"/>
        <v>0</v>
      </c>
    </row>
    <row r="129" spans="1:7" x14ac:dyDescent="0.25">
      <c r="A129" s="1653"/>
      <c r="B129" s="1667"/>
      <c r="C129" s="1654"/>
      <c r="D129" s="1844"/>
      <c r="E129" s="1540">
        <f t="shared" si="17"/>
        <v>0</v>
      </c>
      <c r="F129" s="1938">
        <f t="shared" si="6"/>
        <v>0</v>
      </c>
      <c r="G129" s="1793">
        <f t="shared" si="18"/>
        <v>0</v>
      </c>
    </row>
    <row r="130" spans="1:7" x14ac:dyDescent="0.25">
      <c r="A130" s="1653"/>
      <c r="B130" s="1667"/>
      <c r="C130" s="1654"/>
      <c r="D130" s="1844"/>
      <c r="E130" s="1540">
        <f t="shared" si="17"/>
        <v>0</v>
      </c>
      <c r="F130" s="1938">
        <f t="shared" si="6"/>
        <v>0</v>
      </c>
      <c r="G130" s="1793">
        <f t="shared" si="18"/>
        <v>0</v>
      </c>
    </row>
    <row r="131" spans="1:7" x14ac:dyDescent="0.25">
      <c r="A131" s="1653"/>
      <c r="B131" s="1667"/>
      <c r="C131" s="1654"/>
      <c r="D131" s="1844"/>
      <c r="E131" s="1540">
        <f t="shared" si="17"/>
        <v>0</v>
      </c>
      <c r="F131" s="1938">
        <f t="shared" si="6"/>
        <v>0</v>
      </c>
      <c r="G131" s="1793">
        <f t="shared" si="18"/>
        <v>0</v>
      </c>
    </row>
    <row r="132" spans="1:7" x14ac:dyDescent="0.25">
      <c r="A132" s="1653"/>
      <c r="B132" s="1837"/>
      <c r="C132" s="1654"/>
      <c r="D132" s="1844"/>
      <c r="E132" s="1540">
        <f t="shared" si="17"/>
        <v>0</v>
      </c>
      <c r="F132" s="1938">
        <f t="shared" si="6"/>
        <v>0</v>
      </c>
      <c r="G132" s="1793">
        <f t="shared" si="18"/>
        <v>0</v>
      </c>
    </row>
    <row r="133" spans="1:7" x14ac:dyDescent="0.25">
      <c r="A133" s="1653"/>
      <c r="B133" s="1837"/>
      <c r="C133" s="1654"/>
      <c r="D133" s="1844"/>
      <c r="E133" s="1540">
        <f t="shared" si="17"/>
        <v>0</v>
      </c>
      <c r="F133" s="1938">
        <f t="shared" si="6"/>
        <v>0</v>
      </c>
      <c r="G133" s="1793">
        <f t="shared" si="18"/>
        <v>0</v>
      </c>
    </row>
    <row r="134" spans="1:7" x14ac:dyDescent="0.25">
      <c r="A134" s="1653"/>
      <c r="B134" s="1667"/>
      <c r="C134" s="1654"/>
      <c r="D134" s="1844"/>
      <c r="E134" s="1540">
        <f t="shared" si="17"/>
        <v>0</v>
      </c>
      <c r="F134" s="1938">
        <f t="shared" si="6"/>
        <v>0</v>
      </c>
      <c r="G134" s="1793">
        <f t="shared" si="18"/>
        <v>0</v>
      </c>
    </row>
    <row r="135" spans="1:7" x14ac:dyDescent="0.25">
      <c r="A135" s="1653"/>
      <c r="B135" s="1667"/>
      <c r="C135" s="1654"/>
      <c r="D135" s="1844"/>
      <c r="E135" s="1540">
        <f t="shared" si="17"/>
        <v>0</v>
      </c>
      <c r="F135" s="1938">
        <f t="shared" si="6"/>
        <v>0</v>
      </c>
      <c r="G135" s="1793">
        <f t="shared" si="18"/>
        <v>0</v>
      </c>
    </row>
    <row r="136" spans="1:7" x14ac:dyDescent="0.25">
      <c r="A136" s="1653"/>
      <c r="B136" s="1667"/>
      <c r="C136" s="1654"/>
      <c r="D136" s="1844"/>
      <c r="E136" s="1540">
        <f t="shared" ref="E136:E140" si="19">IF(D136&lt;=25000,D136,IF(D136&gt;25000,25000,0))</f>
        <v>0</v>
      </c>
      <c r="F136" s="1938">
        <f t="shared" si="6"/>
        <v>0</v>
      </c>
      <c r="G136" s="1793">
        <f t="shared" ref="G136:G140" si="20">IF(F136=0,0,D136-F136)</f>
        <v>0</v>
      </c>
    </row>
    <row r="137" spans="1:7" x14ac:dyDescent="0.25">
      <c r="A137" s="1653"/>
      <c r="B137" s="1667"/>
      <c r="C137" s="1654"/>
      <c r="D137" s="1844"/>
      <c r="E137" s="1540">
        <f t="shared" si="19"/>
        <v>0</v>
      </c>
      <c r="F137" s="1938">
        <f t="shared" si="6"/>
        <v>0</v>
      </c>
      <c r="G137" s="1793">
        <f t="shared" si="20"/>
        <v>0</v>
      </c>
    </row>
    <row r="138" spans="1:7" x14ac:dyDescent="0.25">
      <c r="A138" s="1653"/>
      <c r="B138" s="1667"/>
      <c r="C138" s="1654"/>
      <c r="D138" s="1844"/>
      <c r="E138" s="1540">
        <f t="shared" si="19"/>
        <v>0</v>
      </c>
      <c r="F138" s="1938">
        <f t="shared" si="6"/>
        <v>0</v>
      </c>
      <c r="G138" s="1793">
        <f t="shared" si="20"/>
        <v>0</v>
      </c>
    </row>
    <row r="139" spans="1:7" x14ac:dyDescent="0.25">
      <c r="A139" s="1653"/>
      <c r="B139" s="1667"/>
      <c r="C139" s="1654"/>
      <c r="D139" s="1844"/>
      <c r="E139" s="1540">
        <f t="shared" si="19"/>
        <v>0</v>
      </c>
      <c r="F139" s="1938">
        <f t="shared" si="6"/>
        <v>0</v>
      </c>
      <c r="G139" s="1793">
        <f t="shared" si="20"/>
        <v>0</v>
      </c>
    </row>
    <row r="140" spans="1:7" x14ac:dyDescent="0.25">
      <c r="A140" s="1653"/>
      <c r="B140" s="1667"/>
      <c r="C140" s="1654"/>
      <c r="D140" s="1844"/>
      <c r="E140" s="1540">
        <f t="shared" si="19"/>
        <v>0</v>
      </c>
      <c r="F140" s="1938">
        <f t="shared" si="6"/>
        <v>0</v>
      </c>
      <c r="G140" s="1793">
        <f t="shared" si="20"/>
        <v>0</v>
      </c>
    </row>
    <row r="141" spans="1:7" x14ac:dyDescent="0.25">
      <c r="A141" s="1653"/>
      <c r="B141" s="1666"/>
      <c r="C141" s="1654"/>
      <c r="D141" s="1844"/>
      <c r="E141" s="1540">
        <f t="shared" si="2"/>
        <v>0</v>
      </c>
      <c r="F141" s="1938">
        <f t="shared" si="6"/>
        <v>0</v>
      </c>
      <c r="G141" s="1793">
        <f t="shared" si="3"/>
        <v>0</v>
      </c>
    </row>
    <row r="142" spans="1:7" x14ac:dyDescent="0.25">
      <c r="A142" s="1796" t="s">
        <v>156</v>
      </c>
      <c r="B142" s="1797"/>
      <c r="C142" s="1798"/>
      <c r="D142" s="1794">
        <f>SUM(D18:D141)</f>
        <v>0</v>
      </c>
      <c r="E142" s="1541">
        <f t="shared" si="0"/>
        <v>0</v>
      </c>
      <c r="F142" s="1933">
        <f>SUM(F18:F141)</f>
        <v>0</v>
      </c>
      <c r="G142" s="1795">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0" tint="-0.249977111117893"/>
  </sheetPr>
  <dimension ref="A1:I46"/>
  <sheetViews>
    <sheetView showGridLines="0" defaultGridColor="0" topLeftCell="A6" colorId="8" zoomScale="110" zoomScaleNormal="110" workbookViewId="0">
      <selection activeCell="B1" sqref="B1"/>
    </sheetView>
  </sheetViews>
  <sheetFormatPr defaultColWidth="9.28515625" defaultRowHeight="12.75" x14ac:dyDescent="0.2"/>
  <cols>
    <col min="1" max="1" width="8.28515625" style="329" customWidth="1"/>
    <col min="2" max="2" width="46.7109375" style="329" customWidth="1"/>
    <col min="3" max="3" width="8" style="329" customWidth="1"/>
    <col min="4" max="6" width="16.7109375" style="329" customWidth="1"/>
    <col min="7" max="7" width="17.28515625" style="329" customWidth="1"/>
    <col min="8" max="8" width="3.7109375" style="329" customWidth="1"/>
    <col min="9" max="9" width="3.28515625" style="180" customWidth="1"/>
    <col min="10" max="10" width="5.42578125" style="329" customWidth="1"/>
    <col min="11" max="14" width="4.5703125" style="329" customWidth="1"/>
    <col min="15" max="16384" width="9.28515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0" t="s">
        <v>1975</v>
      </c>
      <c r="B11" s="2291"/>
      <c r="C11" s="2291"/>
      <c r="D11" s="2292"/>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13803</v>
      </c>
      <c r="F19" s="1799"/>
      <c r="G19" s="1801">
        <f>'Expenditures 15-22'!K33-SUM('Expenditures 15-22'!G33,'Expenditures 15-22'!I33)+'Expenditures 15-22'!D229</f>
        <v>13803</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63564</v>
      </c>
      <c r="F21" s="1802"/>
      <c r="G21" s="1805">
        <f>'Expenditures 15-22'!K42-SUM('Expenditures 15-22'!G42,'Expenditures 15-22'!I42)+'Expenditures 15-22'!K120-SUM('Expenditures 15-22'!G120,'Expenditures 15-22'!I120)+'Expenditures 15-22'!K180-SUM('Expenditures 15-22'!G180,'Expenditures 15-22'!I180)+'Expenditures 15-22'!D238</f>
        <v>63564</v>
      </c>
      <c r="H21" s="987"/>
      <c r="I21" s="162"/>
    </row>
    <row r="22" spans="1:9" s="668" customFormat="1" ht="12" customHeight="1" x14ac:dyDescent="0.2">
      <c r="A22" s="994" t="s">
        <v>564</v>
      </c>
      <c r="B22" s="995"/>
      <c r="C22" s="993">
        <v>2200</v>
      </c>
      <c r="D22" s="1802"/>
      <c r="E22" s="1804">
        <f>'Expenditures 15-22'!K47-SUM('Expenditures 15-22'!G47,'Expenditures 15-22'!I47)+'Expenditures 15-22'!D243</f>
        <v>110723</v>
      </c>
      <c r="F22" s="1802"/>
      <c r="G22" s="1805">
        <f>'Expenditures 15-22'!K47-SUM('Expenditures 15-22'!G47,'Expenditures 15-22'!I47)+'Expenditures 15-22'!D243</f>
        <v>110723</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41308</v>
      </c>
      <c r="F23" s="1802"/>
      <c r="G23" s="1804">
        <f>'Expenditures 15-22'!K53-SUM('Expenditures 15-22'!G53,'Expenditures 15-22'!I53)+'Expenditures 15-22'!D257+'Expenditures 15-22'!K330-SUM('Expenditures 15-22'!G330,'Expenditures 15-22'!I330)</f>
        <v>41308</v>
      </c>
      <c r="H23" s="987"/>
      <c r="I23" s="162"/>
    </row>
    <row r="24" spans="1:9" s="668" customFormat="1" ht="12" customHeight="1" x14ac:dyDescent="0.2">
      <c r="A24" s="994" t="s">
        <v>566</v>
      </c>
      <c r="B24" s="995"/>
      <c r="C24" s="993">
        <v>2400</v>
      </c>
      <c r="D24" s="1802"/>
      <c r="E24" s="1804">
        <f>'Expenditures 15-22'!K57-SUM('Expenditures 15-22'!G57,'Expenditures 15-22'!I57)+'Expenditures 15-22'!D261</f>
        <v>0</v>
      </c>
      <c r="F24" s="1802"/>
      <c r="G24" s="1805">
        <f>'Expenditures 15-22'!K57-SUM('Expenditures 15-22'!G57,'Expenditures 15-22'!I57)+'Expenditures 15-22'!D261</f>
        <v>0</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0</v>
      </c>
      <c r="E27" s="1804">
        <f>E8</f>
        <v>0</v>
      </c>
      <c r="F27" s="1804">
        <f>'Expenditures 15-22'!K60-SUM('Expenditures 15-22'!G60,'Expenditures 15-22'!I60)+'Expenditures 15-22'!D264-E8</f>
        <v>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0</v>
      </c>
      <c r="F28" s="1806">
        <f>'Expenditures 15-22'!K61-SUM('Expenditures 15-22'!G61,'Expenditures 15-22'!I61)+'Expenditures 15-22'!K124-SUM('Expenditures 15-22'!G124,'Expenditures 15-22'!I124)+'Expenditures 15-22'!D266-E9</f>
        <v>0</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0</v>
      </c>
      <c r="F29" s="1802"/>
      <c r="G29" s="1805">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802"/>
      <c r="E30" s="1804">
        <f>'Expenditures 15-22'!K63-SUM('Expenditures 15-22'!G63,'Expenditures 15-22'!I63)+'Expenditures 15-22'!D268-E10</f>
        <v>0</v>
      </c>
      <c r="F30" s="1802"/>
      <c r="G30" s="1804">
        <f>'Expenditures 15-22'!K63-SUM('Expenditures 15-22'!G63,'Expenditures 15-22'!I63)+'Expenditures 15-22'!D268-E10</f>
        <v>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29'!G142</f>
        <v>0</v>
      </c>
      <c r="F40" s="1802"/>
      <c r="G40" s="1806">
        <f>-'Contracts Paid in CY 29'!G142</f>
        <v>0</v>
      </c>
    </row>
    <row r="41" spans="1:7" ht="12" customHeight="1" x14ac:dyDescent="0.2">
      <c r="A41" s="998" t="s">
        <v>156</v>
      </c>
      <c r="B41" s="999"/>
      <c r="C41" s="1000"/>
      <c r="D41" s="1806">
        <f>SUM(D19:D39)</f>
        <v>0</v>
      </c>
      <c r="E41" s="1806">
        <f>SUM(E19:E40)</f>
        <v>229398</v>
      </c>
      <c r="F41" s="1806">
        <f>SUM(F19:F39)</f>
        <v>0</v>
      </c>
      <c r="G41" s="1806">
        <f>SUM(G19:G40)</f>
        <v>229398</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0</v>
      </c>
      <c r="F43" s="1807" t="s">
        <v>473</v>
      </c>
      <c r="G43" s="1808">
        <f>F41</f>
        <v>0</v>
      </c>
    </row>
    <row r="44" spans="1:7" ht="12" customHeight="1" x14ac:dyDescent="0.2">
      <c r="A44" s="987"/>
      <c r="B44" s="162"/>
      <c r="C44" s="1001"/>
      <c r="D44" s="1807" t="s">
        <v>474</v>
      </c>
      <c r="E44" s="1808">
        <f>E41</f>
        <v>229398</v>
      </c>
      <c r="F44" s="1807" t="s">
        <v>474</v>
      </c>
      <c r="G44" s="1808">
        <f>G41</f>
        <v>229398</v>
      </c>
    </row>
    <row r="45" spans="1:7" ht="12" customHeight="1" x14ac:dyDescent="0.2">
      <c r="A45" s="987"/>
      <c r="B45" s="162"/>
      <c r="C45" s="162"/>
      <c r="D45" s="1809" t="s">
        <v>1006</v>
      </c>
      <c r="E45" s="1810">
        <f>(E43/E44)</f>
        <v>0</v>
      </c>
      <c r="F45" s="1809" t="s">
        <v>1006</v>
      </c>
      <c r="G45" s="1810">
        <f>(G43/G44)</f>
        <v>0</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theme="0" tint="-0.249977111117893"/>
    <pageSetUpPr fitToPage="1"/>
  </sheetPr>
  <dimension ref="A1:L97"/>
  <sheetViews>
    <sheetView showGridLines="0" zoomScale="110" zoomScaleNormal="110" workbookViewId="0">
      <pane ySplit="4" topLeftCell="A5" activePane="bottomLeft" state="frozen"/>
      <selection activeCell="A47" sqref="A47"/>
      <selection pane="bottomLeft" activeCell="M12" sqref="M12"/>
    </sheetView>
  </sheetViews>
  <sheetFormatPr defaultColWidth="9.28515625" defaultRowHeight="12.75" x14ac:dyDescent="0.2"/>
  <cols>
    <col min="1" max="1" width="54.5703125" style="1876" customWidth="1"/>
    <col min="2" max="2" width="4.28515625" style="1876" customWidth="1"/>
    <col min="3" max="4" width="9.7109375" style="1847" customWidth="1"/>
    <col min="5" max="5" width="12.5703125" style="1877" customWidth="1"/>
    <col min="6" max="6" width="67.5703125" style="1847" customWidth="1"/>
    <col min="7" max="7" width="9.28515625" style="1847" customWidth="1"/>
    <col min="8" max="8" width="5.5703125" style="1878" bestFit="1" customWidth="1"/>
    <col min="9" max="10" width="2" style="1878" bestFit="1" customWidth="1"/>
    <col min="11" max="11" width="9" style="1878" customWidth="1"/>
    <col min="12" max="16384" width="9.28515625" style="1847"/>
  </cols>
  <sheetData>
    <row r="1" spans="1:10" x14ac:dyDescent="0.2">
      <c r="A1" s="2296" t="s">
        <v>1379</v>
      </c>
      <c r="B1" s="2296"/>
      <c r="C1" s="2296"/>
      <c r="D1" s="2296"/>
      <c r="E1" s="2296"/>
      <c r="F1" s="2296"/>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Northern Kane Co Reg Voc System</v>
      </c>
      <c r="D6" s="2300"/>
      <c r="E6" s="2300"/>
      <c r="F6" s="1852"/>
    </row>
    <row r="7" spans="1:10" ht="11.25" customHeight="1" thickBot="1" x14ac:dyDescent="0.3">
      <c r="A7" s="1850"/>
      <c r="B7" s="1851"/>
      <c r="C7" s="2301">
        <f>COVER!A13</f>
        <v>31045046046</v>
      </c>
      <c r="D7" s="2301"/>
      <c r="E7" s="2301"/>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t="s">
        <v>2065</v>
      </c>
      <c r="D25" s="1865" t="s">
        <v>2065</v>
      </c>
      <c r="E25" s="1868"/>
      <c r="F25" s="1867" t="s">
        <v>2082</v>
      </c>
      <c r="H25" s="1878">
        <f t="shared" si="0"/>
        <v>5</v>
      </c>
      <c r="I25" s="1878">
        <f t="shared" si="1"/>
        <v>5</v>
      </c>
      <c r="J25" s="1878">
        <f t="shared" si="2"/>
        <v>0</v>
      </c>
    </row>
    <row r="26" spans="1:12" ht="12" customHeight="1" x14ac:dyDescent="0.2">
      <c r="A26" s="1863" t="s">
        <v>1534</v>
      </c>
      <c r="B26" s="1864"/>
      <c r="C26" s="1865"/>
      <c r="D26" s="1865"/>
      <c r="E26" s="1868"/>
      <c r="F26" s="1867"/>
      <c r="H26" s="1878">
        <f t="shared" si="0"/>
        <v>0</v>
      </c>
      <c r="I26" s="1878">
        <f t="shared" si="1"/>
        <v>0</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2065</v>
      </c>
      <c r="D31" s="1865" t="s">
        <v>2065</v>
      </c>
      <c r="E31" s="1868"/>
      <c r="F31" s="1867" t="s">
        <v>2082</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theme="0" tint="-0.249977111117893"/>
  </sheetPr>
  <dimension ref="A1:Q40"/>
  <sheetViews>
    <sheetView showGridLines="0" defaultGridColor="0" topLeftCell="A10" colorId="8" zoomScale="110" zoomScaleNormal="110" workbookViewId="0">
      <selection activeCell="H14" sqref="H14"/>
    </sheetView>
  </sheetViews>
  <sheetFormatPr defaultColWidth="9.28515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28515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4" customHeight="1" x14ac:dyDescent="0.2">
      <c r="F5" s="1014"/>
    </row>
    <row r="6" spans="1:17" x14ac:dyDescent="0.2">
      <c r="A6" s="1894" t="s">
        <v>672</v>
      </c>
      <c r="B6" s="1642"/>
      <c r="C6" s="1642"/>
      <c r="D6" s="1642"/>
      <c r="E6" s="1643"/>
      <c r="F6" s="1015"/>
      <c r="G6" s="1009"/>
      <c r="H6" s="1016" t="s">
        <v>1028</v>
      </c>
      <c r="I6" s="2320" t="str">
        <f>COVER!A17</f>
        <v>Northern Kane Co Reg Voc System</v>
      </c>
      <c r="J6" s="2321"/>
      <c r="Q6" s="1664"/>
    </row>
    <row r="7" spans="1:17" x14ac:dyDescent="0.2">
      <c r="A7" s="2322" t="s">
        <v>869</v>
      </c>
      <c r="B7" s="2323"/>
      <c r="C7" s="2323"/>
      <c r="D7" s="2323"/>
      <c r="E7" s="2324"/>
      <c r="F7" s="1017"/>
      <c r="G7" s="1009"/>
      <c r="H7" s="1016" t="s">
        <v>372</v>
      </c>
      <c r="I7" s="2325">
        <f>COVER!A13</f>
        <v>31045046046</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0</v>
      </c>
      <c r="F12" s="1039"/>
      <c r="G12" s="1811">
        <f t="shared" ref="G12:G18" si="0">SUM(E12:F12)</f>
        <v>0</v>
      </c>
      <c r="H12" s="1040"/>
      <c r="I12" s="1039"/>
      <c r="J12" s="1811">
        <f t="shared" ref="J12:J18" si="1">SUM(H12:I12)</f>
        <v>0</v>
      </c>
    </row>
    <row r="13" spans="1:17" ht="15" customHeight="1" x14ac:dyDescent="0.2">
      <c r="A13" s="1035">
        <v>2</v>
      </c>
      <c r="B13" s="1036" t="s">
        <v>42</v>
      </c>
      <c r="C13" s="1037"/>
      <c r="D13" s="1038">
        <v>2330</v>
      </c>
      <c r="E13" s="1811">
        <f>'Expenditures 15-22'!K51</f>
        <v>41308</v>
      </c>
      <c r="F13" s="1039"/>
      <c r="G13" s="1811">
        <f t="shared" si="0"/>
        <v>41308</v>
      </c>
      <c r="H13" s="1040">
        <v>28096</v>
      </c>
      <c r="I13" s="1039"/>
      <c r="J13" s="1811">
        <f t="shared" si="1"/>
        <v>28096</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41308</v>
      </c>
      <c r="F19" s="1813">
        <f t="shared" si="2"/>
        <v>0</v>
      </c>
      <c r="G19" s="1813">
        <f t="shared" si="2"/>
        <v>41308</v>
      </c>
      <c r="H19" s="1813">
        <f t="shared" si="2"/>
        <v>28096</v>
      </c>
      <c r="I19" s="1813">
        <f t="shared" si="2"/>
        <v>0</v>
      </c>
      <c r="J19" s="1813">
        <f t="shared" si="2"/>
        <v>28096</v>
      </c>
    </row>
    <row r="20" spans="1:10" ht="13.5" thickTop="1" x14ac:dyDescent="0.2">
      <c r="A20" s="1035">
        <v>9</v>
      </c>
      <c r="B20" s="2332" t="s">
        <v>1979</v>
      </c>
      <c r="C20" s="2332"/>
      <c r="D20" s="2333"/>
      <c r="E20" s="1046"/>
      <c r="F20" s="1046"/>
      <c r="G20" s="1046"/>
      <c r="H20" s="1046"/>
      <c r="I20" s="1046"/>
      <c r="J20" s="1814">
        <f>IF(AND(G19&gt;0,J19&gt;0),(((J19-G19)/G19)),"Enter Budget Data")</f>
        <v>-0.31984119298925145</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1981</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0" tint="-0.249977111117893"/>
  </sheetPr>
  <dimension ref="A2:B65"/>
  <sheetViews>
    <sheetView showGridLines="0" zoomScale="110" zoomScaleNormal="110" workbookViewId="0">
      <selection activeCell="B21" sqref="B21"/>
    </sheetView>
  </sheetViews>
  <sheetFormatPr defaultColWidth="9.28515625" defaultRowHeight="12.75" x14ac:dyDescent="0.2"/>
  <cols>
    <col min="1" max="1" width="3" style="329" customWidth="1"/>
    <col min="2" max="2" width="109.28515625" style="329" customWidth="1"/>
    <col min="3" max="3" width="3.28515625" style="329" customWidth="1"/>
    <col min="4" max="16384" width="9.28515625" style="329"/>
  </cols>
  <sheetData>
    <row r="2" spans="1:2" x14ac:dyDescent="0.2">
      <c r="A2" s="389" t="s">
        <v>258</v>
      </c>
    </row>
    <row r="3" spans="1:2" x14ac:dyDescent="0.2">
      <c r="A3" s="329" t="s">
        <v>259</v>
      </c>
    </row>
    <row r="5" spans="1:2" x14ac:dyDescent="0.2">
      <c r="A5" s="1068">
        <v>1</v>
      </c>
      <c r="B5" s="329" t="s">
        <v>2083</v>
      </c>
    </row>
    <row r="6" spans="1:2" x14ac:dyDescent="0.2">
      <c r="A6" s="1068">
        <v>2</v>
      </c>
      <c r="B6" s="329" t="s">
        <v>2084</v>
      </c>
    </row>
    <row r="7" spans="1:2" x14ac:dyDescent="0.2">
      <c r="A7" s="1068">
        <v>3</v>
      </c>
      <c r="B7" s="329" t="s">
        <v>2085</v>
      </c>
    </row>
    <row r="8" spans="1:2" x14ac:dyDescent="0.2">
      <c r="A8" s="1068">
        <v>4</v>
      </c>
      <c r="B8" s="329" t="s">
        <v>2088</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Northern Kane Co Reg Voc System</v>
      </c>
    </row>
    <row r="65" spans="2:2" x14ac:dyDescent="0.2">
      <c r="B65" s="1070">
        <f>COVER!A13</f>
        <v>31045046046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249977111117893"/>
    <pageSetUpPr fitToPage="1"/>
  </sheetPr>
  <dimension ref="A1:I84"/>
  <sheetViews>
    <sheetView showGridLines="0" topLeftCell="A49" zoomScale="110" zoomScaleNormal="110" workbookViewId="0">
      <selection activeCell="B54" sqref="B54"/>
    </sheetView>
  </sheetViews>
  <sheetFormatPr defaultColWidth="9.28515625" defaultRowHeight="12" x14ac:dyDescent="0.2"/>
  <cols>
    <col min="1" max="1" width="2.28515625" style="162" customWidth="1"/>
    <col min="2" max="2" width="88.28515625" style="162" customWidth="1"/>
    <col min="3" max="3" width="1" style="162" customWidth="1"/>
    <col min="4" max="4" width="23.42578125" style="162" customWidth="1"/>
    <col min="5" max="5" width="11" style="162" customWidth="1"/>
    <col min="6" max="6" width="5.28515625" style="162" customWidth="1"/>
    <col min="7" max="7" width="2.5703125" style="162" customWidth="1"/>
    <col min="8" max="8" width="5.42578125" style="162" customWidth="1"/>
    <col min="9" max="16384" width="9.28515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4" customHeight="1" x14ac:dyDescent="0.2">
      <c r="A76" s="189" t="s">
        <v>1621</v>
      </c>
      <c r="B76" s="198" t="s">
        <v>1785</v>
      </c>
    </row>
    <row r="77" spans="1:9" ht="12.4"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4"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theme="0" tint="-0.249977111117893"/>
  </sheetPr>
  <dimension ref="A1:D19"/>
  <sheetViews>
    <sheetView showGridLines="0" defaultGridColor="0" colorId="8" zoomScale="110" zoomScaleNormal="110" workbookViewId="0">
      <selection activeCell="B21" sqref="B21"/>
    </sheetView>
  </sheetViews>
  <sheetFormatPr defaultRowHeight="14.25" x14ac:dyDescent="0.2"/>
  <cols>
    <col min="1" max="1" width="1.28515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F23"/>
  <sheetViews>
    <sheetView showGridLines="0" zoomScale="110" zoomScaleNormal="110" workbookViewId="0">
      <selection activeCell="B18" sqref="B18"/>
    </sheetView>
  </sheetViews>
  <sheetFormatPr defaultColWidth="9.28515625" defaultRowHeight="12.75" x14ac:dyDescent="0.2"/>
  <cols>
    <col min="1" max="1" width="1.7109375" style="329" customWidth="1"/>
    <col min="2" max="2" width="59.7109375" style="329" customWidth="1"/>
    <col min="3" max="16384" width="9.28515625" style="329"/>
  </cols>
  <sheetData>
    <row r="2" spans="2:6" x14ac:dyDescent="0.2">
      <c r="B2" s="1942" t="s">
        <v>2089</v>
      </c>
    </row>
    <row r="8" spans="2:6" x14ac:dyDescent="0.2">
      <c r="B8" s="1942" t="s">
        <v>2090</v>
      </c>
    </row>
    <row r="11" spans="2:6" x14ac:dyDescent="0.2">
      <c r="B11" s="1071"/>
      <c r="C11" s="1071"/>
      <c r="D11" s="1071"/>
      <c r="E11" s="1071"/>
      <c r="F11" s="1071"/>
    </row>
    <row r="12" spans="2:6" x14ac:dyDescent="0.2">
      <c r="B12" s="1943" t="s">
        <v>2091</v>
      </c>
      <c r="C12" s="1071"/>
      <c r="D12" s="1071"/>
      <c r="E12" s="1071"/>
      <c r="F12" s="1071"/>
    </row>
    <row r="13" spans="2:6" x14ac:dyDescent="0.2">
      <c r="B13" s="1071"/>
      <c r="C13" s="1071"/>
      <c r="D13" s="1071"/>
      <c r="E13" s="1071"/>
      <c r="F13" s="1071"/>
    </row>
    <row r="14" spans="2:6" x14ac:dyDescent="0.2">
      <c r="B14" s="1071"/>
      <c r="C14" s="1071"/>
      <c r="D14" s="1071"/>
      <c r="E14" s="1071"/>
      <c r="F14" s="1071"/>
    </row>
    <row r="15" spans="2:6" x14ac:dyDescent="0.2">
      <c r="B15" s="1071"/>
      <c r="C15" s="1071"/>
      <c r="D15" s="1071"/>
      <c r="E15" s="1071"/>
      <c r="F15" s="1071"/>
    </row>
    <row r="16" spans="2:6" x14ac:dyDescent="0.2">
      <c r="B16" s="1071"/>
      <c r="C16" s="1071"/>
      <c r="D16" s="1071"/>
      <c r="E16" s="1071"/>
      <c r="F16" s="1071"/>
    </row>
    <row r="18" spans="1:2" x14ac:dyDescent="0.2">
      <c r="A18" s="1072" t="s">
        <v>1493</v>
      </c>
    </row>
    <row r="20" spans="1:2" x14ac:dyDescent="0.2">
      <c r="A20" s="389" t="s">
        <v>857</v>
      </c>
    </row>
    <row r="21" spans="1:2" s="1071" customFormat="1" ht="45" customHeight="1" x14ac:dyDescent="0.2">
      <c r="A21" s="1073"/>
      <c r="B21" s="1073" t="s">
        <v>1684</v>
      </c>
    </row>
    <row r="22" spans="1:2" ht="6" customHeight="1" x14ac:dyDescent="0.2"/>
    <row r="23" spans="1:2" ht="24.75" customHeight="1" x14ac:dyDescent="0.2">
      <c r="A23" s="2339" t="s">
        <v>1685</v>
      </c>
      <c r="B23" s="2339"/>
    </row>
  </sheetData>
  <sheetProtection selectLockedCells="1"/>
  <mergeCells count="1">
    <mergeCell ref="A23:B23"/>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0</xdr:colOff>
                <xdr:row>11</xdr:row>
                <xdr:rowOff>0</xdr:rowOff>
              </from>
              <to>
                <xdr:col>1</xdr:col>
                <xdr:colOff>914400</xdr:colOff>
                <xdr:row>15</xdr:row>
                <xdr:rowOff>38100</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theme="0" tint="-0.249977111117893"/>
    <pageSetUpPr fitToPage="1"/>
  </sheetPr>
  <dimension ref="A1:H48"/>
  <sheetViews>
    <sheetView showGridLines="0" showZeros="0" zoomScale="110" zoomScaleNormal="110" workbookViewId="0">
      <selection activeCell="B21" sqref="B21"/>
    </sheetView>
  </sheetViews>
  <sheetFormatPr defaultColWidth="9.28515625" defaultRowHeight="12.75" x14ac:dyDescent="0.2"/>
  <cols>
    <col min="1" max="1" width="33.7109375" style="316" customWidth="1"/>
    <col min="2" max="6" width="16.7109375" style="316" customWidth="1"/>
    <col min="7" max="16384" width="9.28515625" style="316"/>
  </cols>
  <sheetData>
    <row r="1" spans="1:8" ht="48.75" customHeight="1" x14ac:dyDescent="0.2">
      <c r="A1" s="2340" t="s">
        <v>1690</v>
      </c>
      <c r="B1" s="2341"/>
      <c r="C1" s="2341"/>
      <c r="D1" s="2341"/>
      <c r="E1" s="2341"/>
      <c r="F1" s="2342"/>
    </row>
    <row r="2" spans="1:8" ht="45" customHeight="1" x14ac:dyDescent="0.2">
      <c r="A2" s="2350" t="s">
        <v>1985</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1986</v>
      </c>
      <c r="B4" s="2360"/>
      <c r="C4" s="2360"/>
      <c r="D4" s="2360"/>
      <c r="E4" s="2360"/>
      <c r="F4" s="2361"/>
      <c r="G4" s="1074"/>
      <c r="H4" s="1074"/>
    </row>
    <row r="5" spans="1:8" ht="14.25" customHeight="1" x14ac:dyDescent="0.2">
      <c r="A5" s="2362" t="s">
        <v>1982</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1588361</v>
      </c>
      <c r="C8" s="1815">
        <f>'Acct Summary 7-8'!D8</f>
        <v>0</v>
      </c>
      <c r="D8" s="1815">
        <f>'Acct Summary 7-8'!F8</f>
        <v>0</v>
      </c>
      <c r="E8" s="1815">
        <f>'Acct Summary 7-8'!I8</f>
        <v>0</v>
      </c>
      <c r="F8" s="1815">
        <f>SUM(B8:E8)</f>
        <v>1588361</v>
      </c>
    </row>
    <row r="9" spans="1:8" s="1079" customFormat="1" ht="14.25" customHeight="1" thickBot="1" x14ac:dyDescent="0.25">
      <c r="A9" s="1078" t="s">
        <v>1369</v>
      </c>
      <c r="B9" s="1816">
        <f>'Acct Summary 7-8'!C17</f>
        <v>1529737</v>
      </c>
      <c r="C9" s="1816">
        <f>'Acct Summary 7-8'!D17</f>
        <v>0</v>
      </c>
      <c r="D9" s="1816">
        <f>'Acct Summary 7-8'!F17</f>
        <v>0</v>
      </c>
      <c r="E9" s="1815"/>
      <c r="F9" s="1815">
        <f>SUM(B9:E9)</f>
        <v>1529737</v>
      </c>
    </row>
    <row r="10" spans="1:8" s="1079" customFormat="1" ht="14.25" thickTop="1" thickBot="1" x14ac:dyDescent="0.25">
      <c r="A10" s="1080" t="s">
        <v>1370</v>
      </c>
      <c r="B10" s="1817">
        <f>(B8-B9)</f>
        <v>58624</v>
      </c>
      <c r="C10" s="1817">
        <f>(C8-C9)</f>
        <v>0</v>
      </c>
      <c r="D10" s="1817">
        <f>(D8-D9)</f>
        <v>0</v>
      </c>
      <c r="E10" s="1816">
        <f>(E8-E9)</f>
        <v>0</v>
      </c>
      <c r="F10" s="1818">
        <f>SUM(F8-F9)</f>
        <v>58624</v>
      </c>
    </row>
    <row r="11" spans="1:8" s="1079" customFormat="1" ht="14.25" thickTop="1" thickBot="1" x14ac:dyDescent="0.25">
      <c r="A11" s="1081" t="s">
        <v>1983</v>
      </c>
      <c r="B11" s="1819">
        <f>'Acct Summary 7-8'!C81</f>
        <v>687466</v>
      </c>
      <c r="C11" s="1819">
        <f>'Acct Summary 7-8'!D81</f>
        <v>0</v>
      </c>
      <c r="D11" s="1819">
        <f>'Acct Summary 7-8'!F81</f>
        <v>0</v>
      </c>
      <c r="E11" s="1819">
        <f>'Acct Summary 7-8'!I81</f>
        <v>0</v>
      </c>
      <c r="F11" s="1820">
        <f>SUM(B11:E11)</f>
        <v>687466</v>
      </c>
    </row>
    <row r="12" spans="1:8" ht="16.5" customHeight="1" thickTop="1" x14ac:dyDescent="0.2">
      <c r="A12" s="1082"/>
      <c r="B12" s="1083"/>
      <c r="C12" s="2344" t="str">
        <f>IF(AND(F10&lt;0,F11&gt;=0,ABS(F10*3)&gt;ABS(F11)),A16,IF(AND(F10&lt;0,F11&gt;0,ABS(F10*3)&lt;=ABS(F11)),A17,IF(AND(F10&lt;0,F11&lt;0),A16,IF(F11=0,A19,A18))))</f>
        <v>Balanced - no deficit reduction plan is required.</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A80" sqref="A80:XFD80"/>
    </sheetView>
  </sheetViews>
  <sheetFormatPr defaultColWidth="9.28515625" defaultRowHeight="12" x14ac:dyDescent="0.2"/>
  <cols>
    <col min="1" max="1" width="2.7109375" style="1133" customWidth="1"/>
    <col min="2" max="2" width="3.28515625" style="1133" customWidth="1"/>
    <col min="3" max="3" width="96.28515625" style="1073" customWidth="1"/>
    <col min="4" max="4" width="42.28515625" style="242" customWidth="1"/>
    <col min="5" max="5" width="2.7109375" style="1092" customWidth="1"/>
    <col min="6" max="6" width="1" style="1092" customWidth="1"/>
    <col min="7" max="16384" width="9.28515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4" customHeight="1" x14ac:dyDescent="0.2">
      <c r="A23" s="1139"/>
      <c r="B23" s="1140"/>
      <c r="C23" s="1141" t="s">
        <v>954</v>
      </c>
      <c r="D23" s="1142" t="str">
        <f>IF(COVER!O11="X","CASH",IF(COVER!O12="X","ACCRUAL ","PLEASE CHECK AN ACCOUNTING BASIS."))</f>
        <v>CASH</v>
      </c>
    </row>
    <row r="24" spans="1:10" ht="12.4"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ENTRY IS REQUIRED!</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29'!D142&gt;0,"OK","PLEASE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7109375" style="138" bestFit="1" customWidth="1"/>
    <col min="3" max="3" width="3.42578125" style="2" customWidth="1"/>
    <col min="4" max="4" width="8.71093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31045046046</v>
      </c>
    </row>
    <row r="3" spans="1:2" x14ac:dyDescent="0.2">
      <c r="A3" t="s">
        <v>956</v>
      </c>
      <c r="B3" s="138" t="str">
        <f>COVER!A15</f>
        <v>Kane</v>
      </c>
    </row>
    <row r="4" spans="1:2" x14ac:dyDescent="0.2">
      <c r="A4" t="s">
        <v>1007</v>
      </c>
      <c r="B4" s="138" t="str">
        <f>COVER!A17</f>
        <v>Northern Kane Co Reg Voc System</v>
      </c>
    </row>
    <row r="5" spans="1:2" x14ac:dyDescent="0.2">
      <c r="A5" t="s">
        <v>704</v>
      </c>
      <c r="B5" s="138" t="str">
        <f>COVER!A38</f>
        <v>Jeff King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f>COVER!T23</f>
        <v>66003346</v>
      </c>
    </row>
    <row r="16" spans="1:2" x14ac:dyDescent="0.2">
      <c r="A16" t="s">
        <v>422</v>
      </c>
      <c r="B16" s="138" t="str">
        <f>COVER!T13</f>
        <v>RSM US LLP</v>
      </c>
    </row>
    <row r="17" spans="1:2" x14ac:dyDescent="0.2">
      <c r="A17" t="s">
        <v>884</v>
      </c>
      <c r="B17" s="138" t="str">
        <f>COVER!T15</f>
        <v>Katie Barry</v>
      </c>
    </row>
    <row r="18" spans="1:2" x14ac:dyDescent="0.2">
      <c r="A18" t="s">
        <v>1150</v>
      </c>
      <c r="B18" s="138" t="str">
        <f>COVER!T17</f>
        <v>One South Wacker Drive, Ste 800</v>
      </c>
    </row>
    <row r="19" spans="1:2" x14ac:dyDescent="0.2">
      <c r="A19" t="s">
        <v>886</v>
      </c>
      <c r="B19" s="138" t="str">
        <f>COVER!T25</f>
        <v>Katie.Barry@rsmus.com</v>
      </c>
    </row>
    <row r="20" spans="1:2" x14ac:dyDescent="0.2">
      <c r="A20" t="s">
        <v>887</v>
      </c>
      <c r="B20" s="138" t="str">
        <f>COVER!T19</f>
        <v>Chicago</v>
      </c>
    </row>
    <row r="21" spans="1:2" x14ac:dyDescent="0.2">
      <c r="A21" t="s">
        <v>479</v>
      </c>
      <c r="B21" s="138" t="str">
        <f>COVER!X19</f>
        <v>IL</v>
      </c>
    </row>
    <row r="22" spans="1:2" x14ac:dyDescent="0.2">
      <c r="A22" t="s">
        <v>888</v>
      </c>
      <c r="B22" s="138">
        <f>COVER!Z19</f>
        <v>60606</v>
      </c>
    </row>
    <row r="23" spans="1:2" x14ac:dyDescent="0.2">
      <c r="A23" t="s">
        <v>1152</v>
      </c>
      <c r="B23" s="138" t="str">
        <f>COVER!T21</f>
        <v>312-634-4415</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687466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0</v>
      </c>
      <c r="D92" s="2" t="str">
        <f t="shared" si="0"/>
        <v>Error?</v>
      </c>
    </row>
    <row r="93" spans="1:4" x14ac:dyDescent="0.2">
      <c r="A93" s="5">
        <v>32</v>
      </c>
      <c r="B93" s="138">
        <f>'Assets-Liab 5-6'!C41</f>
        <v>687466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39056</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39056</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27331</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66387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66387</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12976</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12976</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8979</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21955</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21955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63564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63564</v>
      </c>
      <c r="C843" s="2" t="s">
        <v>573</v>
      </c>
      <c r="D843" s="2" t="str">
        <f t="shared" si="12"/>
        <v>Error?</v>
      </c>
    </row>
    <row r="844" spans="1:4" x14ac:dyDescent="0.2">
      <c r="A844" s="5">
        <v>783</v>
      </c>
      <c r="B844" s="138">
        <f>'Expenditures 15-22'!E44</f>
        <v>58691</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58691</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4998</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127253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127253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13803</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13803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13803</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1287249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1287249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26893</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26893</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63564</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63564</v>
      </c>
      <c r="C1115" s="2" t="s">
        <v>573</v>
      </c>
      <c r="D1115" s="2" t="str">
        <f t="shared" si="16"/>
        <v>Error?</v>
      </c>
    </row>
    <row r="1116" spans="1:4" x14ac:dyDescent="0.2">
      <c r="A1116" s="5">
        <v>1055</v>
      </c>
      <c r="B1116" s="138">
        <f>'Expenditures 15-22'!K44</f>
        <v>110723</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110723</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41308</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215595</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1287249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1529737</v>
      </c>
      <c r="C1152" s="2" t="s">
        <v>573</v>
      </c>
      <c r="D1152" s="2" t="str">
        <f t="shared" si="17"/>
        <v>Error?</v>
      </c>
    </row>
    <row r="1153" spans="1:4" x14ac:dyDescent="0.2">
      <c r="A1153" s="5">
        <v>1092</v>
      </c>
      <c r="B1153" s="138">
        <f>'Expenditures 15-22'!K115</f>
        <v>58624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628842</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687466</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1287249</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1287249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687466</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0</v>
      </c>
      <c r="C2551" s="2" t="s">
        <v>573</v>
      </c>
      <c r="D2551" s="2" t="str">
        <f t="shared" si="38"/>
        <v>Error?</v>
      </c>
    </row>
    <row r="2552" spans="1:4" x14ac:dyDescent="0.2">
      <c r="A2552" s="10">
        <v>2491</v>
      </c>
      <c r="D2552" s="2" t="str">
        <f t="shared" si="38"/>
        <v>OK</v>
      </c>
    </row>
    <row r="2553" spans="1:4" x14ac:dyDescent="0.2">
      <c r="A2553" s="5">
        <v>2492</v>
      </c>
      <c r="B2553" s="138">
        <f>'Acct Summary 7-8'!C6</f>
        <v>1055541</v>
      </c>
      <c r="C2553" s="2" t="s">
        <v>573</v>
      </c>
      <c r="D2553" s="2" t="str">
        <f t="shared" si="38"/>
        <v>Error?</v>
      </c>
    </row>
    <row r="2554" spans="1:4" x14ac:dyDescent="0.2">
      <c r="A2554" s="5">
        <v>2493</v>
      </c>
      <c r="B2554" s="138">
        <f>'Acct Summary 7-8'!C7</f>
        <v>532820</v>
      </c>
      <c r="C2554" s="2" t="s">
        <v>573</v>
      </c>
      <c r="D2554" s="2" t="str">
        <f t="shared" si="38"/>
        <v>Error?</v>
      </c>
    </row>
    <row r="2555" spans="1:4" x14ac:dyDescent="0.2">
      <c r="A2555" s="5">
        <v>2494</v>
      </c>
      <c r="B2555" s="138">
        <f>'Acct Summary 7-8'!C8</f>
        <v>1588361</v>
      </c>
      <c r="C2555" s="2" t="s">
        <v>573</v>
      </c>
      <c r="D2555" s="2" t="str">
        <f t="shared" si="38"/>
        <v>Error?</v>
      </c>
    </row>
    <row r="2556" spans="1:4" x14ac:dyDescent="0.2">
      <c r="A2556" s="5">
        <v>2495</v>
      </c>
      <c r="B2556" s="138">
        <f>'Acct Summary 7-8'!C12</f>
        <v>26893</v>
      </c>
      <c r="C2556" s="2" t="s">
        <v>573</v>
      </c>
      <c r="D2556" s="2" t="str">
        <f t="shared" si="38"/>
        <v>Error?</v>
      </c>
    </row>
    <row r="2557" spans="1:4" x14ac:dyDescent="0.2">
      <c r="A2557" s="5">
        <v>2496</v>
      </c>
      <c r="B2557" s="138">
        <f>'Acct Summary 7-8'!C13</f>
        <v>215595</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1287249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1529737</v>
      </c>
      <c r="C2561" s="2" t="s">
        <v>573</v>
      </c>
      <c r="D2561" s="2" t="str">
        <f t="shared" si="39"/>
        <v>Error?</v>
      </c>
    </row>
    <row r="2562" spans="1:4" x14ac:dyDescent="0.2">
      <c r="A2562" s="5">
        <v>2501</v>
      </c>
      <c r="B2562" s="138">
        <f>'Acct Summary 7-8'!C20</f>
        <v>58624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27331</v>
      </c>
      <c r="D2718" s="2" t="str">
        <f t="shared" si="41"/>
        <v>Error?</v>
      </c>
    </row>
    <row r="2719" spans="1:4" x14ac:dyDescent="0.2">
      <c r="A2719" s="5">
        <v>2658</v>
      </c>
      <c r="B2719" s="138">
        <f>'Expenditures 15-22'!D51</f>
        <v>8979</v>
      </c>
      <c r="D2719" s="2" t="str">
        <f t="shared" si="41"/>
        <v>Error?</v>
      </c>
    </row>
    <row r="2720" spans="1:4" x14ac:dyDescent="0.2">
      <c r="A2720" s="5">
        <v>2659</v>
      </c>
      <c r="B2720" s="138">
        <f>'Expenditures 15-22'!E51</f>
        <v>4998</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41308</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1287249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1287249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58624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687466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1588361</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1529737</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687466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532820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0</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1055541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1055541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1055541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1055541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532820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532820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532820</v>
      </c>
      <c r="C5326" s="2" t="s">
        <v>573</v>
      </c>
      <c r="D5326" s="2" t="str">
        <f t="shared" si="82"/>
        <v>Error?</v>
      </c>
    </row>
    <row r="5327" spans="1:5" x14ac:dyDescent="0.2">
      <c r="A5327" s="5">
        <v>5266</v>
      </c>
      <c r="B5327" s="138">
        <f>'Revenues 9-14'!C268</f>
        <v>1588361</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58624</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8.5275489987868491E-2</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13090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13090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13090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13090</v>
      </c>
      <c r="D7624" s="2" t="str">
        <f t="shared" si="124"/>
        <v>Error?</v>
      </c>
      <c r="E7624" s="2" t="s">
        <v>19</v>
      </c>
    </row>
    <row r="7625" spans="1:5" x14ac:dyDescent="0.2">
      <c r="A7625">
        <f t="shared" si="123"/>
        <v>7564</v>
      </c>
      <c r="B7625" s="138">
        <f>'Cap Outlay Deprec 26'!I17</f>
        <v>1309</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80" sqref="A80:XFD80"/>
    </sheetView>
  </sheetViews>
  <sheetFormatPr defaultColWidth="9.28515625" defaultRowHeight="12.75" x14ac:dyDescent="0.2"/>
  <cols>
    <col min="1" max="1" width="7.7109375" style="1180" customWidth="1"/>
    <col min="2" max="2" width="2.28515625" style="1176" customWidth="1"/>
    <col min="3" max="3" width="9.28515625" style="1180"/>
    <col min="4" max="4" width="13" style="1180" customWidth="1"/>
    <col min="5" max="5" width="16" style="1180" customWidth="1"/>
    <col min="6" max="6" width="4.28515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7109375" style="1180" customWidth="1"/>
    <col min="13" max="13" width="2.7109375" style="1180" customWidth="1"/>
    <col min="14" max="14" width="13.28515625" style="1180" customWidth="1"/>
    <col min="15" max="15" width="7.28515625" style="1180" customWidth="1"/>
    <col min="16" max="16" width="7" style="1180" customWidth="1"/>
    <col min="17" max="19" width="9.7109375" style="1180" customWidth="1"/>
    <col min="20" max="16384" width="9.28515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1987</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Northern Kane Co Reg Voc System</v>
      </c>
      <c r="B7" s="2407"/>
      <c r="C7" s="2407"/>
      <c r="D7" s="2408"/>
      <c r="E7" s="2409">
        <f>COVER!A13</f>
        <v>31045046046</v>
      </c>
      <c r="F7" s="2410"/>
      <c r="G7" s="2416">
        <f>COVER!T23</f>
        <v>66003346</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RSM US LLP</v>
      </c>
      <c r="H9" s="2422"/>
      <c r="I9" s="2422"/>
      <c r="J9" s="2422"/>
      <c r="K9" s="2422"/>
      <c r="L9" s="2423"/>
    </row>
    <row r="10" spans="1:29" ht="13.5" customHeight="1" x14ac:dyDescent="0.2">
      <c r="A10" s="2396" t="str">
        <f>COVER!A38</f>
        <v>Jeff King</v>
      </c>
      <c r="B10" s="2397"/>
      <c r="C10" s="2397"/>
      <c r="D10" s="2397"/>
      <c r="E10" s="2397"/>
      <c r="F10" s="2398"/>
      <c r="G10" s="2390" t="str">
        <f>COVER!T17</f>
        <v>One South Wacker Drive, Ste 800</v>
      </c>
      <c r="H10" s="2391"/>
      <c r="I10" s="2391"/>
      <c r="J10" s="2391"/>
      <c r="K10" s="2391"/>
      <c r="L10" s="2392"/>
    </row>
    <row r="11" spans="1:29" ht="13.5" customHeight="1" x14ac:dyDescent="0.2">
      <c r="A11" s="1184" t="s">
        <v>1519</v>
      </c>
      <c r="B11" s="1185"/>
      <c r="C11" s="1186"/>
      <c r="D11" s="1191"/>
      <c r="E11" s="1186"/>
      <c r="F11" s="1190"/>
      <c r="G11" s="2390" t="str">
        <f>COVER!T19</f>
        <v>Chicago</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Katie.Barry@rsmus.com</v>
      </c>
      <c r="J13" s="2403"/>
      <c r="K13" s="2403"/>
      <c r="L13" s="2404"/>
    </row>
    <row r="14" spans="1:29" ht="13.5" customHeight="1" x14ac:dyDescent="0.2">
      <c r="A14" s="2390" t="str">
        <f>COVER!A19</f>
        <v>355 E. Chicago St.</v>
      </c>
      <c r="B14" s="2391"/>
      <c r="C14" s="2391"/>
      <c r="D14" s="2391"/>
      <c r="E14" s="2391"/>
      <c r="F14" s="2392"/>
      <c r="G14" s="1195" t="s">
        <v>1185</v>
      </c>
      <c r="H14" s="1193"/>
      <c r="I14" s="1193"/>
      <c r="J14" s="1193"/>
      <c r="K14" s="1193"/>
      <c r="L14" s="1194"/>
    </row>
    <row r="15" spans="1:29" ht="13.5" customHeight="1" x14ac:dyDescent="0.2">
      <c r="A15" s="2390" t="str">
        <f>COVER!A21</f>
        <v>Elgin</v>
      </c>
      <c r="B15" s="2391"/>
      <c r="C15" s="2391"/>
      <c r="D15" s="2391"/>
      <c r="E15" s="2391"/>
      <c r="F15" s="2392"/>
      <c r="G15" s="2387" t="str">
        <f>COVER!T15</f>
        <v>Katie Barry</v>
      </c>
      <c r="H15" s="2388"/>
      <c r="I15" s="2388"/>
      <c r="J15" s="2388"/>
      <c r="K15" s="2388"/>
      <c r="L15" s="2389"/>
    </row>
    <row r="16" spans="1:29" ht="12.4" customHeight="1" x14ac:dyDescent="0.2">
      <c r="A16" s="2412" t="str">
        <f>COVER!A25</f>
        <v>60120-6543</v>
      </c>
      <c r="B16" s="2413"/>
      <c r="C16" s="2413"/>
      <c r="D16" s="2413"/>
      <c r="E16" s="2413"/>
      <c r="F16" s="2414"/>
      <c r="G16" s="2424"/>
      <c r="H16" s="2425"/>
      <c r="I16" s="2425"/>
      <c r="J16" s="2425"/>
      <c r="K16" s="2425"/>
      <c r="L16" s="2426"/>
    </row>
    <row r="17" spans="1:13" ht="12.4" customHeight="1" x14ac:dyDescent="0.2">
      <c r="A17" s="2427"/>
      <c r="B17" s="2413"/>
      <c r="C17" s="2413"/>
      <c r="D17" s="2413"/>
      <c r="E17" s="2413"/>
      <c r="F17" s="2414"/>
      <c r="G17" s="1195" t="s">
        <v>1184</v>
      </c>
      <c r="H17" s="1193"/>
      <c r="I17" s="1193"/>
      <c r="J17" s="1193"/>
      <c r="K17" s="1197" t="s">
        <v>1183</v>
      </c>
      <c r="L17" s="1190"/>
      <c r="M17" s="1183"/>
    </row>
    <row r="18" spans="1:13" ht="12.4" customHeight="1" x14ac:dyDescent="0.2">
      <c r="A18" s="2396"/>
      <c r="B18" s="2397"/>
      <c r="C18" s="2397"/>
      <c r="D18" s="2397"/>
      <c r="E18" s="2397"/>
      <c r="F18" s="2398"/>
      <c r="G18" s="2406" t="str">
        <f>COVER!T21</f>
        <v>312-634-4415</v>
      </c>
      <c r="H18" s="2407"/>
      <c r="I18" s="2407"/>
      <c r="J18" s="2407"/>
      <c r="K18" s="2406" t="str">
        <f>COVER!X21</f>
        <v>312-634-5523</v>
      </c>
      <c r="L18" s="2411"/>
    </row>
    <row r="19" spans="1:13" ht="12.4" customHeight="1" x14ac:dyDescent="0.2">
      <c r="A19" s="1198"/>
      <c r="C19" s="1198"/>
      <c r="D19" s="1198"/>
      <c r="E19" s="1198"/>
      <c r="F19" s="1198"/>
      <c r="G19" s="1198"/>
      <c r="H19" s="1198"/>
      <c r="I19" s="1198"/>
      <c r="J19" s="1198"/>
      <c r="K19" s="1198"/>
      <c r="L19" s="1198"/>
    </row>
    <row r="20" spans="1:13" ht="12.4" customHeight="1" x14ac:dyDescent="0.2">
      <c r="A20" s="1198"/>
      <c r="C20" s="1198"/>
      <c r="D20" s="1198"/>
      <c r="E20" s="1198"/>
      <c r="F20" s="1198"/>
      <c r="G20" s="1198"/>
      <c r="H20" s="1198"/>
      <c r="I20" s="1198"/>
      <c r="J20" s="1198" t="s">
        <v>1169</v>
      </c>
      <c r="K20" s="1176" t="s">
        <v>1169</v>
      </c>
    </row>
    <row r="21" spans="1:13" ht="12.4" customHeight="1" x14ac:dyDescent="0.2">
      <c r="A21" s="1199" t="s">
        <v>1698</v>
      </c>
    </row>
    <row r="22" spans="1:13" ht="12.4" customHeight="1" x14ac:dyDescent="0.2">
      <c r="A22" s="1200"/>
    </row>
    <row r="23" spans="1:13" ht="12.4"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4" customHeight="1" x14ac:dyDescent="0.2">
      <c r="B26" s="1201"/>
      <c r="C26" s="1202" t="s">
        <v>1699</v>
      </c>
    </row>
    <row r="27" spans="1:13" s="1198" customFormat="1" ht="9" customHeight="1" x14ac:dyDescent="0.2">
      <c r="B27" s="1203"/>
      <c r="C27" s="1202"/>
    </row>
    <row r="28" spans="1:13" s="1198" customFormat="1" ht="12.4" customHeight="1" x14ac:dyDescent="0.2">
      <c r="A28" s="1205"/>
      <c r="B28" s="1201"/>
      <c r="C28" s="1202" t="s">
        <v>1700</v>
      </c>
    </row>
    <row r="29" spans="1:13" s="1198" customFormat="1" ht="9" customHeight="1" x14ac:dyDescent="0.2">
      <c r="A29" s="1205"/>
      <c r="B29" s="1203"/>
      <c r="C29" s="1202"/>
    </row>
    <row r="30" spans="1:13" s="1198" customFormat="1" ht="12.4" customHeight="1" x14ac:dyDescent="0.2">
      <c r="B30" s="1201"/>
      <c r="C30" s="1202" t="s">
        <v>1562</v>
      </c>
      <c r="D30" s="1196"/>
      <c r="E30" s="1196"/>
    </row>
    <row r="31" spans="1:13" s="1198" customFormat="1" ht="9" customHeight="1" x14ac:dyDescent="0.2">
      <c r="B31" s="1203"/>
      <c r="C31" s="1202"/>
      <c r="D31" s="1196"/>
      <c r="E31" s="1196"/>
    </row>
    <row r="32" spans="1:13" s="1198" customFormat="1" ht="12.4"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4"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3.1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4" customHeight="1" x14ac:dyDescent="0.2">
      <c r="B46" s="1201"/>
      <c r="C46" s="1209" t="s">
        <v>1568</v>
      </c>
      <c r="D46" s="1196"/>
      <c r="E46" s="1196"/>
      <c r="F46" s="1196"/>
      <c r="G46" s="1196"/>
      <c r="H46" s="1196"/>
    </row>
    <row r="47" spans="1:8" ht="9" customHeight="1" x14ac:dyDescent="0.2"/>
    <row r="48" spans="1:8" ht="12.4" customHeight="1" x14ac:dyDescent="0.2">
      <c r="B48" s="1936"/>
      <c r="C48" s="1210" t="s">
        <v>1569</v>
      </c>
    </row>
    <row r="49" spans="1:12" ht="9" customHeight="1" x14ac:dyDescent="0.2"/>
    <row r="50" spans="1:12" ht="6" customHeight="1" x14ac:dyDescent="0.2">
      <c r="C50" s="1210"/>
    </row>
    <row r="51" spans="1:12" ht="12.4" customHeight="1" x14ac:dyDescent="0.2">
      <c r="A51" s="1208"/>
    </row>
    <row r="52" spans="1:12" ht="12.4" customHeight="1" x14ac:dyDescent="0.2"/>
    <row r="53" spans="1:12" ht="12.4" customHeight="1" x14ac:dyDescent="0.2"/>
    <row r="54" spans="1:12" ht="12.4" customHeight="1" x14ac:dyDescent="0.2"/>
    <row r="55" spans="1:12" ht="12.4"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80" sqref="A80:XFD80"/>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28515625" style="1219" customWidth="1"/>
    <col min="6" max="16384" width="10.7109375" style="1219"/>
  </cols>
  <sheetData>
    <row r="1" spans="1:11" s="1212" customFormat="1" ht="12.75" x14ac:dyDescent="0.2">
      <c r="A1" s="2428" t="str">
        <f>'Single Audit Cover'!A7</f>
        <v>Northern Kane Co Reg Voc System</v>
      </c>
      <c r="B1" s="2405"/>
      <c r="C1" s="2405"/>
      <c r="D1" s="2405"/>
    </row>
    <row r="2" spans="1:11" s="1212" customFormat="1" ht="12.75" x14ac:dyDescent="0.2">
      <c r="A2" s="2429">
        <f>'Single Audit Cover'!E7</f>
        <v>31045046046</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80" sqref="A80:XFD80"/>
    </sheetView>
  </sheetViews>
  <sheetFormatPr defaultColWidth="15.7109375" defaultRowHeight="12.75" x14ac:dyDescent="0.2"/>
  <cols>
    <col min="1" max="1" width="31.71093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Northern Kane Co Reg Voc System</v>
      </c>
      <c r="B1" s="2432"/>
      <c r="C1" s="2432"/>
      <c r="D1" s="2432"/>
      <c r="E1" s="2432"/>
    </row>
    <row r="2" spans="1:5" x14ac:dyDescent="0.2">
      <c r="A2" s="2433">
        <f>'Single Audit Cover'!E7</f>
        <v>31045046046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532820</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0</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532820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532820</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532820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zoomScaleNormal="100" workbookViewId="0">
      <selection activeCell="O11" sqref="O11"/>
    </sheetView>
  </sheetViews>
  <sheetFormatPr defaultColWidth="33.5703125" defaultRowHeight="12.75" x14ac:dyDescent="0.2"/>
  <cols>
    <col min="1" max="1" width="0.28515625" style="317" customWidth="1"/>
    <col min="2" max="2" width="32.71093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Northern Kane Co Reg Voc System</v>
      </c>
      <c r="C1" s="2436"/>
      <c r="D1" s="2436"/>
      <c r="E1" s="2436"/>
      <c r="F1" s="2436"/>
      <c r="G1" s="2436"/>
      <c r="H1" s="2436"/>
      <c r="I1" s="2436"/>
      <c r="J1" s="2436"/>
      <c r="K1" s="2436"/>
      <c r="L1" s="2436"/>
      <c r="M1" s="2436"/>
    </row>
    <row r="2" spans="2:14" ht="15" x14ac:dyDescent="0.2">
      <c r="B2" s="2437">
        <f>'Single Audit Cover'!E7</f>
        <v>31045046046</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4.1500000000000004"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4.1500000000000004"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4.1500000000000004"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9000000000000004" customHeight="1" x14ac:dyDescent="0.2"/>
    <row r="112" ht="12.4"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9000000000000004" customHeight="1" x14ac:dyDescent="0.2"/>
    <row r="152" ht="12.4" customHeight="1" x14ac:dyDescent="0.2"/>
  </sheetData>
  <sheetProtection sheet="1" objects="1" scenarios="1"/>
  <mergeCells count="4">
    <mergeCell ref="B1:M1"/>
    <mergeCell ref="B2:M2"/>
    <mergeCell ref="B3:M3"/>
    <mergeCell ref="B4:M4"/>
  </mergeCells>
  <pageMargins left="0.5" right="0.5" top="0.5" bottom="0.5" header="0.25" footer="0.25"/>
  <pageSetup scale="78"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5" zoomScale="120" zoomScaleNormal="120" workbookViewId="0">
      <selection activeCell="I33" sqref="I33"/>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Northern Kane Co Reg Voc System</v>
      </c>
      <c r="B1" s="2449"/>
      <c r="C1" s="2449"/>
      <c r="D1" s="2449"/>
      <c r="E1" s="2449"/>
      <c r="F1" s="2449"/>
    </row>
    <row r="2" spans="1:7" ht="13.5" customHeight="1" x14ac:dyDescent="0.2">
      <c r="A2" s="2437">
        <f>'Single Audit Cover'!E7</f>
        <v>31045046046</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1.15" customHeight="1" x14ac:dyDescent="0.2">
      <c r="A7" s="2448" t="s">
        <v>1729</v>
      </c>
      <c r="B7" s="2448"/>
      <c r="C7" s="2448"/>
      <c r="D7" s="2448"/>
      <c r="E7" s="2448"/>
      <c r="F7" s="244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1731</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6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5"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249977111117893"/>
  </sheetPr>
  <dimension ref="A1:K143"/>
  <sheetViews>
    <sheetView showGridLines="0" defaultGridColor="0" topLeftCell="A79" colorId="8" zoomScale="110" zoomScaleNormal="110" workbookViewId="0">
      <selection activeCell="C117" sqref="C117:H117"/>
    </sheetView>
  </sheetViews>
  <sheetFormatPr defaultColWidth="9.28515625" defaultRowHeight="12.75" x14ac:dyDescent="0.2"/>
  <cols>
    <col min="1" max="1" width="1.5703125" style="202" customWidth="1"/>
    <col min="2" max="2" width="2.7109375" style="203" customWidth="1"/>
    <col min="3" max="3" width="4.28515625" style="204" customWidth="1"/>
    <col min="4" max="4" width="40" style="202" customWidth="1"/>
    <col min="5" max="6" width="12.5703125" style="202" customWidth="1"/>
    <col min="7" max="7" width="11.7109375" style="202" customWidth="1"/>
    <col min="8" max="8" width="12" style="202" customWidth="1"/>
    <col min="9" max="9" width="11.7109375" style="202" customWidth="1"/>
    <col min="10" max="10" width="11.28515625" style="202" customWidth="1"/>
    <col min="11" max="16384" width="9.28515625" style="202"/>
  </cols>
  <sheetData>
    <row r="1" spans="1:11" ht="14.25" customHeight="1" x14ac:dyDescent="0.2">
      <c r="E1" s="205"/>
      <c r="F1" s="206"/>
    </row>
    <row r="2" spans="1:11" s="181" customFormat="1" ht="12.4"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2074</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t="s">
        <v>2087</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I33" sqref="I33"/>
    </sheetView>
  </sheetViews>
  <sheetFormatPr defaultColWidth="9.28515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28515625" style="317" customWidth="1"/>
    <col min="12" max="12" width="4.5703125" style="317" customWidth="1"/>
    <col min="13" max="16384" width="9.28515625" style="317"/>
  </cols>
  <sheetData>
    <row r="1" spans="2:10" s="317" customFormat="1" ht="12.75" customHeight="1" x14ac:dyDescent="0.2">
      <c r="B1" s="2463" t="str">
        <f>'Single Audit Cover'!A7</f>
        <v>Northern Kane Co Reg Voc System</v>
      </c>
      <c r="C1" s="2464"/>
      <c r="D1" s="2464"/>
      <c r="E1" s="2464"/>
      <c r="F1" s="2464"/>
      <c r="G1" s="2464"/>
      <c r="H1" s="2464"/>
      <c r="I1" s="2464"/>
      <c r="J1" s="1406"/>
    </row>
    <row r="2" spans="2:10" s="317" customFormat="1" ht="12.75" customHeight="1" x14ac:dyDescent="0.2">
      <c r="B2" s="2465">
        <f>'Single Audit Cover'!E7</f>
        <v>31045046046</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4" customHeight="1" x14ac:dyDescent="0.2">
      <c r="B5" s="1408" t="s">
        <v>1169</v>
      </c>
      <c r="C5" s="1291"/>
      <c r="D5" s="1291"/>
      <c r="E5" s="1380"/>
      <c r="F5" s="322"/>
      <c r="G5" s="322"/>
      <c r="H5" s="322"/>
      <c r="I5" s="322"/>
    </row>
    <row r="6" spans="2:10" s="317" customFormat="1" ht="6.4"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4"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c r="D11" s="2469"/>
      <c r="E11" s="1416"/>
      <c r="F11" s="1416"/>
      <c r="G11" s="1416"/>
    </row>
    <row r="12" spans="2:10" s="317" customFormat="1" ht="11.6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65"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65"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65"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c r="E29" s="2470"/>
      <c r="F29" s="2470"/>
      <c r="G29" s="2470"/>
      <c r="H29" s="2470"/>
      <c r="I29" s="2470"/>
    </row>
    <row r="30" spans="2:9" s="317" customFormat="1" x14ac:dyDescent="0.2">
      <c r="B30" s="1365"/>
      <c r="C30" s="322"/>
      <c r="D30" s="1417" t="s">
        <v>1748</v>
      </c>
      <c r="E30" s="1418"/>
      <c r="F30" s="1418"/>
      <c r="G30" s="1418"/>
      <c r="H30" s="1418"/>
      <c r="I30" s="1418"/>
    </row>
    <row r="31" spans="2:9" s="317" customFormat="1" ht="10.15"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1" t="s">
        <v>1751</v>
      </c>
      <c r="D37" s="2472"/>
      <c r="E37" s="2472"/>
      <c r="F37" s="2473"/>
      <c r="G37" s="2471" t="s">
        <v>1592</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0</v>
      </c>
      <c r="H43" s="2455"/>
      <c r="I43" s="2455"/>
    </row>
    <row r="44" spans="2:9" ht="12.75" customHeight="1" x14ac:dyDescent="0.2"/>
    <row r="45" spans="2:9" ht="12.75" customHeight="1" x14ac:dyDescent="0.2">
      <c r="B45" s="1419" t="s">
        <v>2062</v>
      </c>
      <c r="D45" s="2456">
        <v>0</v>
      </c>
      <c r="E45" s="245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10.15" customHeight="1" x14ac:dyDescent="0.2"/>
    <row r="49" spans="1:9" x14ac:dyDescent="0.2">
      <c r="B49" s="1365" t="s">
        <v>1273</v>
      </c>
      <c r="C49" s="1279"/>
      <c r="D49" s="1279"/>
      <c r="E49" s="2458"/>
      <c r="F49" s="2458"/>
      <c r="G49" s="245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4.1500000000000004" customHeight="1" x14ac:dyDescent="0.2">
      <c r="A57" s="1442"/>
      <c r="B57" s="1446"/>
      <c r="C57" s="1442"/>
      <c r="D57" s="1442"/>
    </row>
    <row r="58" spans="1:9" s="1445" customFormat="1" ht="13.5" customHeight="1" x14ac:dyDescent="0.2">
      <c r="A58" s="1442"/>
      <c r="B58" s="1447" t="s">
        <v>1753</v>
      </c>
      <c r="C58" s="1448"/>
      <c r="D58" s="1448"/>
    </row>
    <row r="59" spans="1:9" s="1445" customFormat="1" ht="4.1500000000000004" customHeight="1" x14ac:dyDescent="0.2">
      <c r="A59" s="1442"/>
      <c r="B59" s="1447"/>
      <c r="C59" s="1448"/>
      <c r="D59" s="1448"/>
    </row>
    <row r="60" spans="1:9" s="1445" customFormat="1" ht="13.5" customHeight="1" x14ac:dyDescent="0.2">
      <c r="A60" s="1442"/>
      <c r="B60" s="1447" t="s">
        <v>1754</v>
      </c>
      <c r="C60" s="1448"/>
      <c r="D60" s="1448"/>
    </row>
    <row r="61" spans="1:9" s="1445" customFormat="1" ht="4.1500000000000004"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I33" sqref="I33"/>
    </sheetView>
  </sheetViews>
  <sheetFormatPr defaultColWidth="9.28515625" defaultRowHeight="12.75" x14ac:dyDescent="0.2"/>
  <cols>
    <col min="1" max="1" width="1.5703125" style="317" customWidth="1"/>
    <col min="2" max="2" width="21.42578125" style="317" customWidth="1"/>
    <col min="3" max="3" width="6.28515625" style="317" customWidth="1"/>
    <col min="4" max="4" width="4.42578125" style="317" customWidth="1"/>
    <col min="5" max="5" width="3.5703125" style="317" customWidth="1"/>
    <col min="6" max="6" width="20.28515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28515625" style="317"/>
  </cols>
  <sheetData>
    <row r="1" spans="1:13" ht="11.1" customHeight="1" x14ac:dyDescent="0.2">
      <c r="B1" s="2463" t="str">
        <f>'Single Audit Cover'!A7</f>
        <v>Northern Kane Co Reg Voc System</v>
      </c>
      <c r="C1" s="2463"/>
      <c r="D1" s="2463"/>
      <c r="E1" s="2463"/>
      <c r="F1" s="2463"/>
      <c r="G1" s="2463"/>
      <c r="H1" s="2463"/>
      <c r="I1" s="2463"/>
      <c r="J1" s="2463"/>
      <c r="K1" s="2463"/>
      <c r="L1" s="1371"/>
      <c r="M1" s="1371"/>
    </row>
    <row r="2" spans="1:13" ht="12" customHeight="1" x14ac:dyDescent="0.2">
      <c r="B2" s="2465">
        <f>'Single Audit Cover'!E7</f>
        <v>31045046046</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I33" sqref="I33"/>
    </sheetView>
  </sheetViews>
  <sheetFormatPr defaultColWidth="9.28515625" defaultRowHeight="12.75" x14ac:dyDescent="0.2"/>
  <cols>
    <col min="1" max="1" width="1.5703125" style="317" customWidth="1"/>
    <col min="2" max="2" width="21.5703125" style="317" customWidth="1"/>
    <col min="3" max="3" width="6.28515625" style="317" customWidth="1"/>
    <col min="4" max="4" width="4.7109375" style="317" customWidth="1"/>
    <col min="5" max="5" width="3.5703125" style="317" customWidth="1"/>
    <col min="6" max="6" width="20.28515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28515625" style="317"/>
  </cols>
  <sheetData>
    <row r="1" spans="1:12" ht="12.75" customHeight="1" x14ac:dyDescent="0.2">
      <c r="B1" s="2486" t="str">
        <f>'Single Audit Cover'!A7</f>
        <v>Northern Kane Co Reg Voc System</v>
      </c>
      <c r="C1" s="2486"/>
      <c r="D1" s="2486"/>
      <c r="E1" s="2486"/>
      <c r="F1" s="2486"/>
      <c r="G1" s="2486"/>
      <c r="H1" s="2486"/>
      <c r="I1" s="2486"/>
      <c r="J1" s="2486"/>
      <c r="K1" s="2486"/>
      <c r="L1" s="1449"/>
    </row>
    <row r="2" spans="1:12" ht="12.75" customHeight="1" x14ac:dyDescent="0.2">
      <c r="B2" s="2487">
        <f>'Single Audit Cover'!E7</f>
        <v>31045046046</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I33" sqref="I33"/>
    </sheetView>
  </sheetViews>
  <sheetFormatPr defaultColWidth="9.28515625" defaultRowHeight="12.75" x14ac:dyDescent="0.2"/>
  <cols>
    <col min="1" max="1" width="1.5703125" style="317" customWidth="1"/>
    <col min="2" max="2" width="14.7109375" style="317" customWidth="1"/>
    <col min="3" max="3" width="40.7109375" style="317" customWidth="1"/>
    <col min="4" max="4" width="42.28515625" style="317" customWidth="1"/>
    <col min="5" max="5" width="8.28515625" style="317" customWidth="1"/>
    <col min="6" max="9" width="9.28515625" style="317"/>
    <col min="10" max="10" width="6.7109375" style="317" customWidth="1"/>
    <col min="11" max="16384" width="9.28515625" style="317"/>
  </cols>
  <sheetData>
    <row r="1" spans="2:5" s="1279" customFormat="1" ht="12.75" customHeight="1" x14ac:dyDescent="0.2">
      <c r="B1" s="2463" t="str">
        <f>'Single Audit Cover'!A7</f>
        <v>Northern Kane Co Reg Voc System</v>
      </c>
      <c r="C1" s="2463"/>
      <c r="D1" s="2463"/>
      <c r="E1" s="1469"/>
    </row>
    <row r="2" spans="2:5" s="1279" customFormat="1" ht="12.75" customHeight="1" x14ac:dyDescent="0.2">
      <c r="B2" s="2465">
        <f>'Single Audit Cover'!E7</f>
        <v>31045046046</v>
      </c>
      <c r="C2" s="2465"/>
      <c r="D2" s="2465"/>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4" customHeight="1" x14ac:dyDescent="0.2">
      <c r="B44" s="1254" t="s">
        <v>1313</v>
      </c>
      <c r="C44" s="322"/>
    </row>
    <row r="45" spans="2:5" ht="12.4" customHeight="1" x14ac:dyDescent="0.2">
      <c r="B45" s="1483" t="s">
        <v>1769</v>
      </c>
    </row>
    <row r="46" spans="2:5" ht="12.4" customHeight="1" x14ac:dyDescent="0.2">
      <c r="B46" s="1483" t="s">
        <v>1770</v>
      </c>
    </row>
    <row r="47" spans="2:5" ht="12.4" customHeight="1" x14ac:dyDescent="0.2">
      <c r="B47" s="1484" t="s">
        <v>1312</v>
      </c>
    </row>
    <row r="48" spans="2:5" ht="12.4" customHeight="1" x14ac:dyDescent="0.2">
      <c r="B48" s="1484" t="s">
        <v>1311</v>
      </c>
    </row>
    <row r="49" spans="2:5" ht="12.4" customHeight="1" x14ac:dyDescent="0.2">
      <c r="B49" s="1484" t="s">
        <v>1310</v>
      </c>
    </row>
    <row r="50" spans="2:5" ht="12.4"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theme="0" tint="-0.249977111117893"/>
  </sheetPr>
  <dimension ref="A1:N72"/>
  <sheetViews>
    <sheetView showGridLines="0" defaultGridColor="0" topLeftCell="A52" colorId="8" zoomScale="110" zoomScaleNormal="110" workbookViewId="0">
      <selection activeCell="P16" sqref="P16"/>
    </sheetView>
  </sheetViews>
  <sheetFormatPr defaultColWidth="9.28515625" defaultRowHeight="12" x14ac:dyDescent="0.2"/>
  <cols>
    <col min="1" max="1" width="4.71093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28515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2">
        <f>ROUND(D10+F10+H10,5)</f>
        <v>0</v>
      </c>
      <c r="K10" s="222"/>
      <c r="L10" s="355"/>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1588361</v>
      </c>
      <c r="E16" s="356"/>
      <c r="F16" s="1733">
        <f>SUM('Acct Summary 7-8'!C17,'Acct Summary 7-8'!D17,'Acct Summary 7-8'!F17)</f>
        <v>1529737</v>
      </c>
      <c r="G16" s="356"/>
      <c r="H16" s="1733">
        <f>SUM(D16-F16)</f>
        <v>58624</v>
      </c>
      <c r="I16" s="222"/>
      <c r="J16" s="1733">
        <f>SUM('Acct Summary 7-8'!C81,'Acct Summary 7-8'!D81,'Acct Summary 7-8'!F81,'Acct Summary 7-8'!I81)</f>
        <v>687466</v>
      </c>
      <c r="K16" s="222"/>
      <c r="L16" s="222"/>
      <c r="M16" s="222"/>
    </row>
    <row r="17" spans="1:13" ht="12.4" customHeight="1" x14ac:dyDescent="0.2">
      <c r="A17" s="349"/>
      <c r="B17" s="260" t="s">
        <v>8</v>
      </c>
      <c r="C17" s="237" t="s">
        <v>1396</v>
      </c>
      <c r="D17" s="222"/>
      <c r="E17" s="222"/>
      <c r="F17" s="222"/>
      <c r="G17" s="222"/>
      <c r="H17" s="222"/>
      <c r="I17" s="222"/>
      <c r="J17" s="222"/>
      <c r="K17" s="222"/>
      <c r="L17" s="222"/>
      <c r="M17" s="222"/>
    </row>
    <row r="18" spans="1:13" ht="12.4"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4"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4"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theme="0" tint="-0.249977111117893"/>
  </sheetPr>
  <dimension ref="A1:R44"/>
  <sheetViews>
    <sheetView showGridLines="0" zoomScale="110" zoomScaleNormal="110" workbookViewId="0">
      <selection activeCell="P16" sqref="P16"/>
    </sheetView>
  </sheetViews>
  <sheetFormatPr defaultColWidth="9.28515625" defaultRowHeight="12" x14ac:dyDescent="0.2"/>
  <cols>
    <col min="1" max="1" width="2" style="385" customWidth="1"/>
    <col min="2" max="2" width="2.7109375" style="447" customWidth="1"/>
    <col min="3" max="3" width="15.28515625" style="385" customWidth="1"/>
    <col min="4" max="4" width="37.7109375" style="385" customWidth="1"/>
    <col min="5" max="5" width="1.7109375" style="385" customWidth="1"/>
    <col min="6" max="6" width="31.28515625" style="385" customWidth="1"/>
    <col min="7" max="7" width="1.7109375" style="385" customWidth="1"/>
    <col min="8" max="8" width="15.7109375" style="449" customWidth="1"/>
    <col min="9" max="9" width="2.7109375" style="385" customWidth="1"/>
    <col min="10" max="10" width="5.71093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7109375" style="385" customWidth="1"/>
    <col min="17" max="18" width="2.7109375" style="385" customWidth="1"/>
    <col min="19" max="16384" width="9.28515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Northern Kane Co Reg Voc System</v>
      </c>
      <c r="E7" s="391"/>
      <c r="G7" s="252"/>
      <c r="H7" s="387"/>
      <c r="I7" s="387"/>
      <c r="J7" s="387"/>
      <c r="K7" s="387"/>
      <c r="L7" s="329"/>
      <c r="M7" s="329"/>
      <c r="N7" s="329"/>
      <c r="O7" s="329"/>
      <c r="P7" s="329"/>
    </row>
    <row r="8" spans="1:18" ht="12.75" x14ac:dyDescent="0.2">
      <c r="A8" s="329"/>
      <c r="B8" s="329"/>
      <c r="C8" s="389" t="s">
        <v>1125</v>
      </c>
      <c r="D8" s="392">
        <f>COVER!A13</f>
        <v>31045046046</v>
      </c>
      <c r="E8" s="393"/>
      <c r="G8" s="329"/>
      <c r="H8" s="329"/>
      <c r="I8" s="329"/>
      <c r="J8" s="329"/>
      <c r="K8" s="329"/>
      <c r="L8" s="329"/>
      <c r="M8" s="329"/>
      <c r="N8" s="329"/>
      <c r="O8" s="329"/>
      <c r="P8" s="329"/>
    </row>
    <row r="9" spans="1:18" ht="12.75" x14ac:dyDescent="0.2">
      <c r="A9" s="329"/>
      <c r="B9" s="329"/>
      <c r="C9" s="389" t="s">
        <v>713</v>
      </c>
      <c r="D9" s="394" t="str">
        <f>COVER!A15</f>
        <v>Kane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687466</v>
      </c>
      <c r="I12" s="404"/>
      <c r="J12" s="404"/>
      <c r="K12" s="405">
        <f>TRUNC((H12/H13*100000),5)/100000</f>
        <v>0.43281470639999997</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1588361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6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1529737</v>
      </c>
      <c r="I17" s="404"/>
      <c r="J17" s="416"/>
      <c r="K17" s="405">
        <f>TRUNC((H17/H18*100000),5)/100000</f>
        <v>0.96309151379999991</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1588361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65" customHeight="1" x14ac:dyDescent="0.2">
      <c r="A21" s="216"/>
      <c r="B21" s="396"/>
      <c r="C21" s="218" t="s">
        <v>475</v>
      </c>
      <c r="D21" s="216"/>
      <c r="E21" s="216"/>
      <c r="F21" s="216"/>
      <c r="G21" s="414"/>
      <c r="H21" s="395"/>
      <c r="I21" s="216"/>
      <c r="J21" s="216"/>
      <c r="K21" s="395"/>
      <c r="L21" s="216"/>
      <c r="M21" s="415"/>
      <c r="N21" s="415"/>
      <c r="O21" s="216"/>
      <c r="P21" s="216"/>
      <c r="R21" s="384"/>
    </row>
    <row r="22" spans="1:18" ht="11.6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687466</v>
      </c>
      <c r="I24" s="422"/>
      <c r="J24" s="422"/>
      <c r="K24" s="423">
        <f>TRUNC(((H24/H25*100000)/100000),2)</f>
        <v>161.78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4249.26944</v>
      </c>
      <c r="I25" s="425"/>
      <c r="J25" s="425"/>
      <c r="K25" s="410"/>
      <c r="L25" s="218"/>
      <c r="M25" s="360" t="s">
        <v>1145</v>
      </c>
      <c r="N25" s="360"/>
      <c r="O25" s="411">
        <f>O23*O24</f>
        <v>0.30000000000000004</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0" tint="-0.249977111117893"/>
  </sheetPr>
  <dimension ref="A1:N44"/>
  <sheetViews>
    <sheetView showGridLines="0" defaultGridColor="0" colorId="8" zoomScale="110" zoomScaleNormal="110" workbookViewId="0">
      <pane ySplit="2" topLeftCell="A9" activePane="bottomLeft" state="frozen"/>
      <selection activeCell="P16" sqref="P16"/>
      <selection pane="bottomLeft" activeCell="P16" sqref="P16"/>
    </sheetView>
  </sheetViews>
  <sheetFormatPr defaultColWidth="9.28515625" defaultRowHeight="12.75" x14ac:dyDescent="0.2"/>
  <cols>
    <col min="1" max="1" width="47.28515625" style="501" customWidth="1"/>
    <col min="2" max="2" width="4.5703125" style="502" customWidth="1"/>
    <col min="3" max="14" width="13.7109375" style="457" customWidth="1"/>
    <col min="15" max="16384" width="9.28515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v>687466</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687466</v>
      </c>
      <c r="D13" s="1737">
        <f t="shared" ref="D13:L13" si="0">SUM(D4:D12)</f>
        <v>0</v>
      </c>
      <c r="E13" s="1737">
        <f t="shared" si="0"/>
        <v>0</v>
      </c>
      <c r="F13" s="1737">
        <f t="shared" si="0"/>
        <v>0</v>
      </c>
      <c r="G13" s="1737">
        <f t="shared" si="0"/>
        <v>0</v>
      </c>
      <c r="H13" s="1737">
        <f t="shared" si="0"/>
        <v>0</v>
      </c>
      <c r="I13" s="1737">
        <f t="shared" si="0"/>
        <v>0</v>
      </c>
      <c r="J13" s="1737">
        <f t="shared" si="0"/>
        <v>0</v>
      </c>
      <c r="K13" s="1737">
        <f t="shared" si="0"/>
        <v>0</v>
      </c>
      <c r="L13" s="1737">
        <f t="shared" si="0"/>
        <v>0</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c r="N16" s="484"/>
    </row>
    <row r="17" spans="1:14" s="485" customFormat="1" ht="12.75" customHeight="1" x14ac:dyDescent="0.2">
      <c r="A17" s="482" t="s">
        <v>1403</v>
      </c>
      <c r="B17" s="483">
        <v>230</v>
      </c>
      <c r="C17" s="477"/>
      <c r="D17" s="477"/>
      <c r="E17" s="477"/>
      <c r="F17" s="477"/>
      <c r="G17" s="477"/>
      <c r="H17" s="477"/>
      <c r="I17" s="477"/>
      <c r="J17" s="477"/>
      <c r="K17" s="477"/>
      <c r="L17" s="477"/>
      <c r="M17" s="467"/>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6" t="s">
        <v>643</v>
      </c>
      <c r="B23" s="1741"/>
      <c r="C23" s="468"/>
      <c r="D23" s="468"/>
      <c r="E23" s="468"/>
      <c r="F23" s="468"/>
      <c r="G23" s="468"/>
      <c r="H23" s="468"/>
      <c r="I23" s="468"/>
      <c r="J23" s="468"/>
      <c r="K23" s="468"/>
      <c r="L23" s="468"/>
      <c r="M23" s="1688">
        <f>SUM(M15:M22)</f>
        <v>0</v>
      </c>
      <c r="N23" s="1688">
        <f>SUM(N21:N22)</f>
        <v>0</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0</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6" t="s">
        <v>653</v>
      </c>
      <c r="B37" s="1741"/>
      <c r="C37" s="477"/>
      <c r="D37" s="477"/>
      <c r="E37" s="477"/>
      <c r="F37" s="477"/>
      <c r="G37" s="477"/>
      <c r="H37" s="477"/>
      <c r="I37" s="477"/>
      <c r="J37" s="477"/>
      <c r="K37" s="477"/>
      <c r="L37" s="480"/>
      <c r="M37" s="468"/>
      <c r="N37" s="1688">
        <f>SUM(N36:N36)</f>
        <v>0</v>
      </c>
    </row>
    <row r="38" spans="1:14" s="329" customFormat="1" ht="13.5" customHeight="1" thickTop="1" x14ac:dyDescent="0.2">
      <c r="A38" s="496" t="s">
        <v>420</v>
      </c>
      <c r="B38" s="483">
        <v>714</v>
      </c>
      <c r="C38" s="466">
        <v>687466</v>
      </c>
      <c r="D38" s="466"/>
      <c r="E38" s="466"/>
      <c r="F38" s="466"/>
      <c r="G38" s="466"/>
      <c r="H38" s="466"/>
      <c r="I38" s="466"/>
      <c r="J38" s="467"/>
      <c r="K38" s="466"/>
      <c r="L38" s="481"/>
      <c r="M38" s="497"/>
      <c r="N38" s="497"/>
    </row>
    <row r="39" spans="1:14" s="329" customFormat="1" ht="13.5" customHeight="1" x14ac:dyDescent="0.2">
      <c r="A39" s="496" t="s">
        <v>342</v>
      </c>
      <c r="B39" s="483">
        <v>730</v>
      </c>
      <c r="C39" s="466"/>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c r="N40" s="497"/>
    </row>
    <row r="41" spans="1:14" ht="13.5" customHeight="1" thickBot="1" x14ac:dyDescent="0.25">
      <c r="A41" s="1736" t="s">
        <v>655</v>
      </c>
      <c r="B41" s="1706"/>
      <c r="C41" s="1688">
        <f>(SUM(C34,C37,C38,C39))</f>
        <v>687466</v>
      </c>
      <c r="D41" s="1688">
        <f t="shared" ref="D41:L41" si="2">SUM(D34,D37,D38:D39)</f>
        <v>0</v>
      </c>
      <c r="E41" s="1688">
        <f t="shared" si="2"/>
        <v>0</v>
      </c>
      <c r="F41" s="1688">
        <f t="shared" si="2"/>
        <v>0</v>
      </c>
      <c r="G41" s="1688">
        <f t="shared" si="2"/>
        <v>0</v>
      </c>
      <c r="H41" s="1688">
        <f t="shared" si="2"/>
        <v>0</v>
      </c>
      <c r="I41" s="1688">
        <f t="shared" si="2"/>
        <v>0</v>
      </c>
      <c r="J41" s="1688">
        <f t="shared" si="2"/>
        <v>0</v>
      </c>
      <c r="K41" s="1688">
        <f t="shared" si="2"/>
        <v>0</v>
      </c>
      <c r="L41" s="1688">
        <f t="shared" si="2"/>
        <v>0</v>
      </c>
      <c r="M41" s="1688">
        <f>SUM(M40)</f>
        <v>0</v>
      </c>
      <c r="N41" s="1688">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249977111117893"/>
  </sheetPr>
  <dimension ref="A1:M87"/>
  <sheetViews>
    <sheetView showGridLines="0" defaultGridColor="0" colorId="8" zoomScale="110" zoomScaleNormal="110" zoomScaleSheetLayoutView="100" workbookViewId="0">
      <pane ySplit="2" topLeftCell="A3" activePane="bottomLeft" state="frozen"/>
      <selection activeCell="P16" sqref="P16"/>
      <selection pane="bottomLeft" activeCell="P16" sqref="P16"/>
    </sheetView>
  </sheetViews>
  <sheetFormatPr defaultColWidth="9.28515625" defaultRowHeight="12.75" x14ac:dyDescent="0.2"/>
  <cols>
    <col min="1" max="1" width="55.7109375" style="501" customWidth="1"/>
    <col min="2" max="2" width="4.7109375" style="502" customWidth="1"/>
    <col min="3" max="11" width="13.7109375" style="457" customWidth="1"/>
    <col min="12" max="12" width="2" style="457" customWidth="1"/>
    <col min="13" max="16384" width="9.28515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899999999999999"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0</v>
      </c>
      <c r="D4" s="1742">
        <f>'Revenues 9-14'!D109</f>
        <v>0</v>
      </c>
      <c r="E4" s="1742">
        <f>'Revenues 9-14'!E109</f>
        <v>0</v>
      </c>
      <c r="F4" s="1742">
        <f>'Revenues 9-14'!F109</f>
        <v>0</v>
      </c>
      <c r="G4" s="1742">
        <f>'Revenues 9-14'!G109</f>
        <v>0</v>
      </c>
      <c r="H4" s="1742">
        <f>'Revenues 9-14'!H109</f>
        <v>0</v>
      </c>
      <c r="I4" s="1742">
        <f>'Revenues 9-14'!I109</f>
        <v>0</v>
      </c>
      <c r="J4" s="1742">
        <f>'Revenues 9-14'!J109</f>
        <v>0</v>
      </c>
      <c r="K4" s="1742">
        <f>'Revenues 9-14'!K109</f>
        <v>0</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1055541</v>
      </c>
      <c r="D6" s="1743">
        <f>'Revenues 9-14'!D170</f>
        <v>0</v>
      </c>
      <c r="E6" s="1743">
        <f>'Revenues 9-14'!E170</f>
        <v>0</v>
      </c>
      <c r="F6" s="1743">
        <f>'Revenues 9-14'!F170</f>
        <v>0</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532820</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1588361</v>
      </c>
      <c r="D8" s="1688">
        <f t="shared" ref="D8:K8" si="0">SUM(D4:D7)</f>
        <v>0</v>
      </c>
      <c r="E8" s="1688">
        <f t="shared" si="0"/>
        <v>0</v>
      </c>
      <c r="F8" s="1688">
        <f t="shared" si="0"/>
        <v>0</v>
      </c>
      <c r="G8" s="1688">
        <f t="shared" si="0"/>
        <v>0</v>
      </c>
      <c r="H8" s="1688">
        <f t="shared" si="0"/>
        <v>0</v>
      </c>
      <c r="I8" s="1688">
        <f t="shared" si="0"/>
        <v>0</v>
      </c>
      <c r="J8" s="1688">
        <f t="shared" si="0"/>
        <v>0</v>
      </c>
      <c r="K8" s="1688">
        <f t="shared" si="0"/>
        <v>0</v>
      </c>
      <c r="L8" s="347"/>
    </row>
    <row r="9" spans="1:13" ht="15.75" thickTop="1" x14ac:dyDescent="0.2">
      <c r="A9" s="514" t="s">
        <v>1653</v>
      </c>
      <c r="B9" s="515">
        <v>3998</v>
      </c>
      <c r="C9" s="481">
        <v>0</v>
      </c>
      <c r="D9" s="516"/>
      <c r="E9" s="481"/>
      <c r="F9" s="481"/>
      <c r="G9" s="517"/>
      <c r="H9" s="481"/>
      <c r="I9" s="509" t="s">
        <v>1169</v>
      </c>
      <c r="J9" s="478"/>
      <c r="K9" s="481"/>
      <c r="L9" s="347"/>
    </row>
    <row r="10" spans="1:13" s="519" customFormat="1" ht="13.5" thickBot="1" x14ac:dyDescent="0.25">
      <c r="A10" s="1736" t="s">
        <v>1173</v>
      </c>
      <c r="B10" s="1709"/>
      <c r="C10" s="1688">
        <f>SUM(C8:C9)</f>
        <v>1588361</v>
      </c>
      <c r="D10" s="1688">
        <f t="shared" ref="D10:K10" si="1">SUM(D8:D9)</f>
        <v>0</v>
      </c>
      <c r="E10" s="1688">
        <f t="shared" si="1"/>
        <v>0</v>
      </c>
      <c r="F10" s="1688">
        <f t="shared" si="1"/>
        <v>0</v>
      </c>
      <c r="G10" s="1688">
        <f t="shared" si="1"/>
        <v>0</v>
      </c>
      <c r="H10" s="1688">
        <f t="shared" si="1"/>
        <v>0</v>
      </c>
      <c r="I10" s="1688">
        <f t="shared" si="1"/>
        <v>0</v>
      </c>
      <c r="J10" s="1688">
        <f t="shared" si="1"/>
        <v>0</v>
      </c>
      <c r="K10" s="1688">
        <f t="shared" si="1"/>
        <v>0</v>
      </c>
      <c r="L10" s="518"/>
    </row>
    <row r="11" spans="1:13" s="519" customFormat="1" ht="16.899999999999999"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26893</v>
      </c>
      <c r="D12" s="520" t="s">
        <v>1169</v>
      </c>
      <c r="E12" s="468" t="s">
        <v>1169</v>
      </c>
      <c r="F12" s="468" t="s">
        <v>1169</v>
      </c>
      <c r="G12" s="1742">
        <f>'Expenditures 15-22'!K229</f>
        <v>0</v>
      </c>
      <c r="H12" s="521"/>
      <c r="I12" s="468" t="s">
        <v>1169</v>
      </c>
      <c r="J12" s="468" t="s">
        <v>1169</v>
      </c>
      <c r="K12" s="521" t="s">
        <v>1169</v>
      </c>
      <c r="L12" s="347"/>
    </row>
    <row r="13" spans="1:13" ht="15.75" customHeight="1" x14ac:dyDescent="0.2">
      <c r="A13" s="1576" t="s">
        <v>457</v>
      </c>
      <c r="B13" s="1578">
        <v>2000</v>
      </c>
      <c r="C13" s="1743">
        <f>'Expenditures 15-22'!K74</f>
        <v>215595</v>
      </c>
      <c r="D13" s="1743">
        <f>'Expenditures 15-22'!K129</f>
        <v>0</v>
      </c>
      <c r="E13" s="469" t="s">
        <v>1169</v>
      </c>
      <c r="F13" s="1743">
        <f>'Expenditures 15-22'!K184</f>
        <v>0</v>
      </c>
      <c r="G13" s="1743">
        <f>'Expenditures 15-22'!K279</f>
        <v>0</v>
      </c>
      <c r="H13" s="1743">
        <f>'Expenditures 15-22'!K303</f>
        <v>0</v>
      </c>
      <c r="I13" s="468" t="s">
        <v>1169</v>
      </c>
      <c r="J13" s="1743">
        <f>'Expenditures 15-22'!K330</f>
        <v>0</v>
      </c>
      <c r="K13" s="1747">
        <f>'Expenditures 15-22'!K352</f>
        <v>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1287249</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1529737</v>
      </c>
      <c r="D17" s="1688">
        <f t="shared" si="2"/>
        <v>0</v>
      </c>
      <c r="E17" s="1688">
        <f t="shared" si="2"/>
        <v>0</v>
      </c>
      <c r="F17" s="1688">
        <f t="shared" si="2"/>
        <v>0</v>
      </c>
      <c r="G17" s="1688">
        <f t="shared" si="2"/>
        <v>0</v>
      </c>
      <c r="H17" s="1688">
        <f t="shared" si="2"/>
        <v>0</v>
      </c>
      <c r="I17" s="468"/>
      <c r="J17" s="1688">
        <f>SUM(J12:J16)</f>
        <v>0</v>
      </c>
      <c r="K17" s="1688">
        <f>SUM(K12:K16)</f>
        <v>0</v>
      </c>
      <c r="L17" s="347"/>
    </row>
    <row r="18" spans="1:12" ht="15" customHeight="1" thickTop="1" x14ac:dyDescent="0.2">
      <c r="A18" s="1744" t="s">
        <v>1654</v>
      </c>
      <c r="B18" s="1745">
        <v>4180</v>
      </c>
      <c r="C18" s="1742">
        <f t="shared" ref="C18:H18" si="3">C9</f>
        <v>0</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1529737</v>
      </c>
      <c r="D19" s="1688">
        <f t="shared" si="4"/>
        <v>0</v>
      </c>
      <c r="E19" s="1688">
        <f t="shared" si="4"/>
        <v>0</v>
      </c>
      <c r="F19" s="1688">
        <f t="shared" si="4"/>
        <v>0</v>
      </c>
      <c r="G19" s="1688">
        <f t="shared" si="4"/>
        <v>0</v>
      </c>
      <c r="H19" s="1688">
        <f t="shared" si="4"/>
        <v>0</v>
      </c>
      <c r="I19" s="468"/>
      <c r="J19" s="1688">
        <f>SUM(J17:J18)</f>
        <v>0</v>
      </c>
      <c r="K19" s="1688">
        <f>SUM(K17:K18)</f>
        <v>0</v>
      </c>
      <c r="L19" s="347"/>
    </row>
    <row r="20" spans="1:12" ht="16.5" thickTop="1" thickBot="1" x14ac:dyDescent="0.25">
      <c r="A20" s="2129" t="s">
        <v>1655</v>
      </c>
      <c r="B20" s="2130"/>
      <c r="C20" s="1746">
        <f>C8-C17</f>
        <v>58624</v>
      </c>
      <c r="D20" s="1746">
        <f t="shared" ref="D20:K20" si="5">D8-D17</f>
        <v>0</v>
      </c>
      <c r="E20" s="1746">
        <f t="shared" si="5"/>
        <v>0</v>
      </c>
      <c r="F20" s="1746">
        <f t="shared" si="5"/>
        <v>0</v>
      </c>
      <c r="G20" s="1746">
        <f t="shared" si="5"/>
        <v>0</v>
      </c>
      <c r="H20" s="1746">
        <f t="shared" si="5"/>
        <v>0</v>
      </c>
      <c r="I20" s="1746">
        <f t="shared" si="5"/>
        <v>0</v>
      </c>
      <c r="J20" s="1746">
        <f t="shared" si="5"/>
        <v>0</v>
      </c>
      <c r="K20" s="1746">
        <f t="shared" si="5"/>
        <v>0</v>
      </c>
      <c r="L20" s="347"/>
    </row>
    <row r="21" spans="1:12" ht="16.899999999999999"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0</v>
      </c>
      <c r="K76" s="1703">
        <f t="shared" si="7"/>
        <v>0</v>
      </c>
      <c r="L76" s="524"/>
    </row>
    <row r="77" spans="1:12" ht="14.25" thickTop="1" thickBot="1" x14ac:dyDescent="0.25">
      <c r="A77" s="2121" t="s">
        <v>1177</v>
      </c>
      <c r="B77" s="2122"/>
      <c r="C77" s="1703">
        <f t="shared" ref="C77:K77" si="8">C44-C76</f>
        <v>0</v>
      </c>
      <c r="D77" s="1703">
        <f t="shared" si="8"/>
        <v>0</v>
      </c>
      <c r="E77" s="1703">
        <f t="shared" si="8"/>
        <v>0</v>
      </c>
      <c r="F77" s="1703">
        <f t="shared" si="8"/>
        <v>0</v>
      </c>
      <c r="G77" s="1703">
        <f t="shared" si="8"/>
        <v>0</v>
      </c>
      <c r="H77" s="1703">
        <f t="shared" si="8"/>
        <v>0</v>
      </c>
      <c r="I77" s="1703">
        <f t="shared" si="8"/>
        <v>0</v>
      </c>
      <c r="J77" s="1703">
        <f t="shared" si="8"/>
        <v>0</v>
      </c>
      <c r="K77" s="1703">
        <f t="shared" si="8"/>
        <v>0</v>
      </c>
      <c r="L77" s="347"/>
    </row>
    <row r="78" spans="1:12" ht="21.75" customHeight="1" thickTop="1" thickBot="1" x14ac:dyDescent="0.25">
      <c r="A78" s="2125" t="s">
        <v>597</v>
      </c>
      <c r="B78" s="2126"/>
      <c r="C78" s="1702">
        <f t="shared" ref="C78:K78" si="9">C20+C77</f>
        <v>58624</v>
      </c>
      <c r="D78" s="1702">
        <f t="shared" si="9"/>
        <v>0</v>
      </c>
      <c r="E78" s="1702">
        <f t="shared" si="9"/>
        <v>0</v>
      </c>
      <c r="F78" s="1702">
        <f t="shared" si="9"/>
        <v>0</v>
      </c>
      <c r="G78" s="1702">
        <f t="shared" si="9"/>
        <v>0</v>
      </c>
      <c r="H78" s="1702">
        <f t="shared" si="9"/>
        <v>0</v>
      </c>
      <c r="I78" s="1702">
        <f t="shared" si="9"/>
        <v>0</v>
      </c>
      <c r="J78" s="1702">
        <f t="shared" si="9"/>
        <v>0</v>
      </c>
      <c r="K78" s="1702">
        <f t="shared" si="9"/>
        <v>0</v>
      </c>
      <c r="L78" s="533"/>
    </row>
    <row r="79" spans="1:12" ht="13.5" thickTop="1" x14ac:dyDescent="0.2">
      <c r="A79" s="1494" t="s">
        <v>1947</v>
      </c>
      <c r="B79" s="534"/>
      <c r="C79" s="478">
        <v>628842</v>
      </c>
      <c r="D79" s="535"/>
      <c r="E79" s="535"/>
      <c r="F79" s="535"/>
      <c r="G79" s="535"/>
      <c r="H79" s="535"/>
      <c r="I79" s="535"/>
      <c r="J79" s="535"/>
      <c r="K79" s="535"/>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1948</v>
      </c>
      <c r="B81" s="2124"/>
      <c r="C81" s="1688">
        <f>(SUM(C78:C80))</f>
        <v>687466</v>
      </c>
      <c r="D81" s="1688">
        <f>SUM(D78:D80)</f>
        <v>0</v>
      </c>
      <c r="E81" s="1688">
        <f t="shared" ref="E81:K81" si="10">SUM(E78:E80)</f>
        <v>0</v>
      </c>
      <c r="F81" s="1688">
        <f t="shared" si="10"/>
        <v>0</v>
      </c>
      <c r="G81" s="1688">
        <f t="shared" si="10"/>
        <v>0</v>
      </c>
      <c r="H81" s="1688">
        <f t="shared" si="10"/>
        <v>0</v>
      </c>
      <c r="I81" s="1688">
        <f t="shared" si="10"/>
        <v>0</v>
      </c>
      <c r="J81" s="1688">
        <f t="shared" si="10"/>
        <v>0</v>
      </c>
      <c r="K81" s="1688">
        <f t="shared" si="10"/>
        <v>0</v>
      </c>
      <c r="L81" s="347"/>
    </row>
    <row r="82" spans="1:12" ht="0.75" customHeight="1" thickTop="1" thickBot="1" x14ac:dyDescent="0.25">
      <c r="A82" s="536" t="s">
        <v>343</v>
      </c>
      <c r="B82" s="537"/>
      <c r="C82" s="538">
        <f>(C81-C79)</f>
        <v>58624</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8.5275489987868491E-2</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tint="-0.249977111117893"/>
  </sheetPr>
  <dimension ref="A1:L279"/>
  <sheetViews>
    <sheetView showGridLines="0" defaultGridColor="0" colorId="8" zoomScale="110" zoomScaleNormal="110" zoomScaleSheetLayoutView="75" workbookViewId="0">
      <pane ySplit="2" topLeftCell="A201" activePane="bottomLeft" state="frozen"/>
      <selection activeCell="P16" sqref="P16"/>
      <selection pane="bottomLeft" activeCell="C220" sqref="C220"/>
    </sheetView>
  </sheetViews>
  <sheetFormatPr defaultColWidth="9.28515625" defaultRowHeight="12.75" x14ac:dyDescent="0.2"/>
  <cols>
    <col min="1" max="1" width="54.28515625" style="594" customWidth="1"/>
    <col min="2" max="2" width="4.7109375" style="595" customWidth="1"/>
    <col min="3" max="11" width="13.7109375" style="384" customWidth="1"/>
    <col min="12" max="16384" width="9.28515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899999999999999"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0</v>
      </c>
      <c r="D12" s="1707">
        <f t="shared" si="0"/>
        <v>0</v>
      </c>
      <c r="E12" s="1707">
        <f t="shared" si="0"/>
        <v>0</v>
      </c>
      <c r="F12" s="1707">
        <f t="shared" si="0"/>
        <v>0</v>
      </c>
      <c r="G12" s="1707">
        <f t="shared" si="0"/>
        <v>0</v>
      </c>
      <c r="H12" s="1707">
        <f t="shared" si="0"/>
        <v>0</v>
      </c>
      <c r="I12" s="1707">
        <f t="shared" si="0"/>
        <v>0</v>
      </c>
      <c r="J12" s="1707">
        <f t="shared" si="0"/>
        <v>0</v>
      </c>
      <c r="K12" s="1688">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0</v>
      </c>
      <c r="D18" s="1710">
        <f t="shared" ref="D18:K18" si="1">SUM(D14:D17)</f>
        <v>0</v>
      </c>
      <c r="E18" s="1710">
        <f t="shared" si="1"/>
        <v>0</v>
      </c>
      <c r="F18" s="1710">
        <f t="shared" si="1"/>
        <v>0</v>
      </c>
      <c r="G18" s="1710">
        <f t="shared" si="1"/>
        <v>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0</v>
      </c>
      <c r="D67" s="1688">
        <f t="shared" ref="D67:K67" si="2">SUM(D65:D66)</f>
        <v>0</v>
      </c>
      <c r="E67" s="1688">
        <f t="shared" si="2"/>
        <v>0</v>
      </c>
      <c r="F67" s="1688">
        <f t="shared" si="2"/>
        <v>0</v>
      </c>
      <c r="G67" s="1688">
        <f t="shared" si="2"/>
        <v>0</v>
      </c>
      <c r="H67" s="1688">
        <f t="shared" si="2"/>
        <v>0</v>
      </c>
      <c r="I67" s="1688">
        <f t="shared" si="2"/>
        <v>0</v>
      </c>
      <c r="J67" s="1688">
        <f t="shared" si="2"/>
        <v>0</v>
      </c>
      <c r="K67" s="1688">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c r="D107" s="466"/>
      <c r="E107" s="466"/>
      <c r="F107" s="466"/>
      <c r="G107" s="466"/>
      <c r="H107" s="466"/>
      <c r="I107" s="466"/>
      <c r="J107" s="467"/>
      <c r="K107" s="466"/>
    </row>
    <row r="108" spans="1:12" ht="12.75" customHeight="1" thickBot="1" x14ac:dyDescent="0.25">
      <c r="A108" s="1708" t="s">
        <v>487</v>
      </c>
      <c r="B108" s="1712"/>
      <c r="C108" s="1707">
        <f>SUM(C95:C107)</f>
        <v>0</v>
      </c>
      <c r="D108" s="1707">
        <f t="shared" ref="D108:K108" si="3">SUM(D95:D107)</f>
        <v>0</v>
      </c>
      <c r="E108" s="1707">
        <f t="shared" si="3"/>
        <v>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0</v>
      </c>
      <c r="D109" s="1715">
        <f t="shared" si="4"/>
        <v>0</v>
      </c>
      <c r="E109" s="1715">
        <f t="shared" si="4"/>
        <v>0</v>
      </c>
      <c r="F109" s="1715">
        <f t="shared" si="4"/>
        <v>0</v>
      </c>
      <c r="G109" s="1715">
        <f t="shared" si="4"/>
        <v>0</v>
      </c>
      <c r="H109" s="1715">
        <f t="shared" si="4"/>
        <v>0</v>
      </c>
      <c r="I109" s="1715">
        <f t="shared" si="4"/>
        <v>0</v>
      </c>
      <c r="J109" s="1715">
        <f t="shared" si="4"/>
        <v>0</v>
      </c>
      <c r="K109" s="1702">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899999999999999"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1"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0</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0</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v>1055541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1055541</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0</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1055541</v>
      </c>
      <c r="D169" s="1722">
        <f t="shared" si="6"/>
        <v>0</v>
      </c>
      <c r="E169" s="1722">
        <f t="shared" si="6"/>
        <v>0</v>
      </c>
      <c r="F169" s="1722">
        <f t="shared" si="6"/>
        <v>0</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1055541</v>
      </c>
      <c r="D170" s="1715">
        <f t="shared" si="7"/>
        <v>0</v>
      </c>
      <c r="E170" s="1715">
        <f t="shared" si="7"/>
        <v>0</v>
      </c>
      <c r="F170" s="1715">
        <f t="shared" si="7"/>
        <v>0</v>
      </c>
      <c r="G170" s="1715">
        <f t="shared" si="7"/>
        <v>0</v>
      </c>
      <c r="H170" s="1715">
        <f t="shared" si="7"/>
        <v>0</v>
      </c>
      <c r="I170" s="1715">
        <f t="shared" si="7"/>
        <v>0</v>
      </c>
      <c r="J170" s="1715">
        <f t="shared" si="7"/>
        <v>0</v>
      </c>
      <c r="K170" s="1702">
        <f t="shared" si="7"/>
        <v>0</v>
      </c>
    </row>
    <row r="171" spans="1:11" ht="16.899999999999999"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0</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0</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0</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v>532820</v>
      </c>
      <c r="D220" s="466"/>
      <c r="E220" s="468"/>
      <c r="F220" s="468"/>
      <c r="G220" s="466"/>
      <c r="H220" s="468"/>
      <c r="I220" s="468"/>
      <c r="J220" s="468"/>
      <c r="K220" s="468"/>
    </row>
    <row r="221" spans="1:11" ht="12.75" customHeight="1" thickBot="1" x14ac:dyDescent="0.25">
      <c r="A221" s="1723" t="s">
        <v>1085</v>
      </c>
      <c r="B221" s="1724"/>
      <c r="C221" s="1707">
        <f>SUM(C219:C220)</f>
        <v>532820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1" t="s">
        <v>1935</v>
      </c>
      <c r="B261" s="470">
        <v>4981</v>
      </c>
      <c r="C261" s="575"/>
      <c r="D261" s="576"/>
      <c r="E261" s="468"/>
      <c r="F261" s="576"/>
      <c r="G261" s="576"/>
      <c r="H261" s="468"/>
      <c r="I261" s="468"/>
      <c r="J261" s="468"/>
      <c r="K261" s="468"/>
    </row>
    <row r="262" spans="1:11" ht="12.75" customHeight="1" thickTop="1" thickBot="1" x14ac:dyDescent="0.25">
      <c r="A262" s="1932"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532820</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532820</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1588361</v>
      </c>
      <c r="D268" s="1715">
        <f t="shared" si="12"/>
        <v>0</v>
      </c>
      <c r="E268" s="1715">
        <f t="shared" si="12"/>
        <v>0</v>
      </c>
      <c r="F268" s="1715">
        <f t="shared" si="12"/>
        <v>0</v>
      </c>
      <c r="G268" s="1715">
        <f t="shared" si="12"/>
        <v>0</v>
      </c>
      <c r="H268" s="1715">
        <f t="shared" si="12"/>
        <v>0</v>
      </c>
      <c r="I268" s="1715">
        <f t="shared" si="12"/>
        <v>0</v>
      </c>
      <c r="J268" s="1715">
        <f t="shared" si="12"/>
        <v>0</v>
      </c>
      <c r="K268" s="1702">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tint="-0.249977111117893"/>
  </sheetPr>
  <dimension ref="A1:N368"/>
  <sheetViews>
    <sheetView showGridLines="0" defaultGridColor="0" colorId="8" zoomScale="110" zoomScaleNormal="110" workbookViewId="0">
      <pane ySplit="2" topLeftCell="A29" activePane="bottomLeft" state="frozen"/>
      <selection pane="bottomLeft" activeCell="B45" sqref="B45"/>
    </sheetView>
  </sheetViews>
  <sheetFormatPr defaultColWidth="9.28515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7109375" style="343" customWidth="1"/>
    <col min="13" max="13" width="1.5703125" style="210" customWidth="1"/>
    <col min="14" max="14" width="9.28515625" style="210"/>
    <col min="15" max="16384" width="9.28515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899999999999999"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1">
        <f>SUM(C5:J5)</f>
        <v>0</v>
      </c>
      <c r="L5" s="466"/>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c r="D7" s="467"/>
      <c r="E7" s="467"/>
      <c r="F7" s="467"/>
      <c r="G7" s="467"/>
      <c r="H7" s="467"/>
      <c r="I7" s="467"/>
      <c r="J7" s="467"/>
      <c r="K7" s="1671">
        <f t="shared" ref="K7:K32" si="0">SUM(C7:J7)</f>
        <v>0</v>
      </c>
      <c r="L7" s="466"/>
    </row>
    <row r="8" spans="1:14" x14ac:dyDescent="0.2">
      <c r="A8" s="1504" t="s">
        <v>164</v>
      </c>
      <c r="B8" s="614">
        <v>1200</v>
      </c>
      <c r="C8" s="466"/>
      <c r="D8" s="466"/>
      <c r="E8" s="466"/>
      <c r="F8" s="466"/>
      <c r="G8" s="466"/>
      <c r="H8" s="466"/>
      <c r="I8" s="467"/>
      <c r="J8" s="467"/>
      <c r="K8" s="1671">
        <f t="shared" si="0"/>
        <v>0</v>
      </c>
      <c r="L8" s="466"/>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c r="D10" s="466"/>
      <c r="E10" s="466"/>
      <c r="F10" s="466"/>
      <c r="G10" s="466"/>
      <c r="H10" s="466"/>
      <c r="I10" s="467"/>
      <c r="J10" s="467"/>
      <c r="K10" s="1671">
        <f t="shared" si="0"/>
        <v>0</v>
      </c>
      <c r="L10" s="466"/>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v>13803</v>
      </c>
      <c r="G13" s="466"/>
      <c r="H13" s="466"/>
      <c r="I13" s="467">
        <v>13090</v>
      </c>
      <c r="J13" s="467"/>
      <c r="K13" s="1671">
        <f t="shared" si="0"/>
        <v>26893</v>
      </c>
      <c r="L13" s="466">
        <v>42579</v>
      </c>
    </row>
    <row r="14" spans="1:14" x14ac:dyDescent="0.2">
      <c r="A14" s="1504" t="s">
        <v>963</v>
      </c>
      <c r="B14" s="614">
        <v>1500</v>
      </c>
      <c r="C14" s="466"/>
      <c r="D14" s="466"/>
      <c r="E14" s="466"/>
      <c r="F14" s="466"/>
      <c r="G14" s="466"/>
      <c r="H14" s="466"/>
      <c r="I14" s="467"/>
      <c r="J14" s="467"/>
      <c r="K14" s="1671">
        <f t="shared" si="0"/>
        <v>0</v>
      </c>
      <c r="L14" s="466"/>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0</v>
      </c>
      <c r="D33" s="1670">
        <f t="shared" ref="D33:L33" si="1">SUM(D5:D32)</f>
        <v>0</v>
      </c>
      <c r="E33" s="1670">
        <f t="shared" si="1"/>
        <v>0</v>
      </c>
      <c r="F33" s="1670">
        <f t="shared" si="1"/>
        <v>13803</v>
      </c>
      <c r="G33" s="1670">
        <f t="shared" si="1"/>
        <v>0</v>
      </c>
      <c r="H33" s="1670">
        <f t="shared" si="1"/>
        <v>0</v>
      </c>
      <c r="I33" s="1670">
        <f t="shared" si="1"/>
        <v>13090</v>
      </c>
      <c r="J33" s="1670">
        <f t="shared" si="1"/>
        <v>0</v>
      </c>
      <c r="K33" s="1670">
        <f t="shared" si="1"/>
        <v>26893</v>
      </c>
      <c r="L33" s="1670">
        <f t="shared" si="1"/>
        <v>42579</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row>
    <row r="37" spans="1:14" x14ac:dyDescent="0.2">
      <c r="A37" s="1504" t="s">
        <v>1090</v>
      </c>
      <c r="B37" s="614">
        <v>2120</v>
      </c>
      <c r="C37" s="466"/>
      <c r="D37" s="466"/>
      <c r="E37" s="466">
        <v>63564</v>
      </c>
      <c r="F37" s="466"/>
      <c r="G37" s="466"/>
      <c r="H37" s="466"/>
      <c r="I37" s="467"/>
      <c r="J37" s="467"/>
      <c r="K37" s="1671">
        <f t="shared" si="2"/>
        <v>63564</v>
      </c>
      <c r="L37" s="466">
        <v>54180</v>
      </c>
    </row>
    <row r="38" spans="1:14" x14ac:dyDescent="0.2">
      <c r="A38" s="1504" t="s">
        <v>198</v>
      </c>
      <c r="B38" s="614">
        <v>2130</v>
      </c>
      <c r="C38" s="466"/>
      <c r="D38" s="466"/>
      <c r="E38" s="466"/>
      <c r="F38" s="466"/>
      <c r="G38" s="466"/>
      <c r="H38" s="466"/>
      <c r="I38" s="467"/>
      <c r="J38" s="467"/>
      <c r="K38" s="1671">
        <f t="shared" si="2"/>
        <v>0</v>
      </c>
      <c r="L38" s="466"/>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c r="G41" s="466"/>
      <c r="H41" s="466"/>
      <c r="I41" s="467"/>
      <c r="J41" s="467"/>
      <c r="K41" s="1671">
        <f t="shared" si="2"/>
        <v>0</v>
      </c>
      <c r="L41" s="466"/>
    </row>
    <row r="42" spans="1:14" ht="12.75" customHeight="1" thickBot="1" x14ac:dyDescent="0.25">
      <c r="A42" s="1668" t="s">
        <v>560</v>
      </c>
      <c r="B42" s="1669" t="s">
        <v>716</v>
      </c>
      <c r="C42" s="1670">
        <f>SUM(C36:C41)</f>
        <v>0</v>
      </c>
      <c r="D42" s="1670">
        <f t="shared" ref="D42:L42" si="3">SUM(D36:D41)</f>
        <v>0</v>
      </c>
      <c r="E42" s="1670">
        <f t="shared" si="3"/>
        <v>63564</v>
      </c>
      <c r="F42" s="1670">
        <f t="shared" si="3"/>
        <v>0</v>
      </c>
      <c r="G42" s="1670">
        <f t="shared" si="3"/>
        <v>0</v>
      </c>
      <c r="H42" s="1670">
        <f t="shared" si="3"/>
        <v>0</v>
      </c>
      <c r="I42" s="1670">
        <f t="shared" si="3"/>
        <v>0</v>
      </c>
      <c r="J42" s="1670">
        <f t="shared" si="3"/>
        <v>0</v>
      </c>
      <c r="K42" s="1670">
        <f t="shared" si="3"/>
        <v>63564</v>
      </c>
      <c r="L42" s="1670">
        <f t="shared" si="3"/>
        <v>54180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39056</v>
      </c>
      <c r="D44" s="481">
        <v>12976</v>
      </c>
      <c r="E44" s="481">
        <v>58691</v>
      </c>
      <c r="F44" s="481"/>
      <c r="G44" s="481"/>
      <c r="H44" s="481"/>
      <c r="I44" s="467"/>
      <c r="J44" s="467"/>
      <c r="K44" s="1672">
        <f>SUM(C44:J44)</f>
        <v>110723</v>
      </c>
      <c r="L44" s="481">
        <v>89320</v>
      </c>
    </row>
    <row r="45" spans="1:14" x14ac:dyDescent="0.2">
      <c r="A45" s="1504" t="s">
        <v>815</v>
      </c>
      <c r="B45" s="614">
        <v>2220</v>
      </c>
      <c r="C45" s="466"/>
      <c r="D45" s="466"/>
      <c r="E45" s="466"/>
      <c r="F45" s="466"/>
      <c r="G45" s="466"/>
      <c r="H45" s="466"/>
      <c r="I45" s="467"/>
      <c r="J45" s="467"/>
      <c r="K45" s="1672">
        <f>SUM(C45:J45)</f>
        <v>0</v>
      </c>
      <c r="L45" s="466"/>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39056</v>
      </c>
      <c r="D47" s="1670">
        <f t="shared" ref="D47:K47" si="4">SUM(D44:D46)</f>
        <v>12976</v>
      </c>
      <c r="E47" s="1670">
        <f t="shared" si="4"/>
        <v>58691</v>
      </c>
      <c r="F47" s="1670">
        <f t="shared" si="4"/>
        <v>0</v>
      </c>
      <c r="G47" s="1670">
        <f t="shared" si="4"/>
        <v>0</v>
      </c>
      <c r="H47" s="1670">
        <f t="shared" si="4"/>
        <v>0</v>
      </c>
      <c r="I47" s="1670">
        <f t="shared" si="4"/>
        <v>0</v>
      </c>
      <c r="J47" s="1670">
        <f t="shared" si="4"/>
        <v>0</v>
      </c>
      <c r="K47" s="1670">
        <f t="shared" si="4"/>
        <v>110723</v>
      </c>
      <c r="L47" s="1670">
        <f>SUM(L44:L46)</f>
        <v>89320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2">
        <f>SUM(C49:J49)</f>
        <v>0</v>
      </c>
      <c r="L49" s="481"/>
    </row>
    <row r="50" spans="1:14" x14ac:dyDescent="0.2">
      <c r="A50" s="1504" t="s">
        <v>818</v>
      </c>
      <c r="B50" s="614">
        <v>2320</v>
      </c>
      <c r="C50" s="466"/>
      <c r="D50" s="466"/>
      <c r="E50" s="466"/>
      <c r="F50" s="466"/>
      <c r="G50" s="466"/>
      <c r="H50" s="466"/>
      <c r="I50" s="467"/>
      <c r="J50" s="467"/>
      <c r="K50" s="1672">
        <f>SUM(C50:J50)</f>
        <v>0</v>
      </c>
      <c r="L50" s="466">
        <v>79155</v>
      </c>
    </row>
    <row r="51" spans="1:14" x14ac:dyDescent="0.2">
      <c r="A51" s="1504" t="s">
        <v>42</v>
      </c>
      <c r="B51" s="614">
        <v>2330</v>
      </c>
      <c r="C51" s="466">
        <v>27331</v>
      </c>
      <c r="D51" s="466">
        <v>8979</v>
      </c>
      <c r="E51" s="466">
        <v>4998</v>
      </c>
      <c r="F51" s="466"/>
      <c r="G51" s="466"/>
      <c r="H51" s="466"/>
      <c r="I51" s="467"/>
      <c r="J51" s="467"/>
      <c r="K51" s="1672">
        <f>SUM(C51:J51)</f>
        <v>41308</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27331</v>
      </c>
      <c r="D53" s="1670">
        <f t="shared" ref="D53:L53" si="5">SUM(D49:D52)</f>
        <v>8979</v>
      </c>
      <c r="E53" s="1670">
        <f t="shared" si="5"/>
        <v>4998</v>
      </c>
      <c r="F53" s="1670">
        <f t="shared" si="5"/>
        <v>0</v>
      </c>
      <c r="G53" s="1670">
        <f t="shared" si="5"/>
        <v>0</v>
      </c>
      <c r="H53" s="1670">
        <f t="shared" si="5"/>
        <v>0</v>
      </c>
      <c r="I53" s="1670">
        <f t="shared" si="5"/>
        <v>0</v>
      </c>
      <c r="J53" s="1670">
        <f t="shared" si="5"/>
        <v>0</v>
      </c>
      <c r="K53" s="1670">
        <f t="shared" si="5"/>
        <v>41308</v>
      </c>
      <c r="L53" s="1670">
        <f t="shared" si="5"/>
        <v>79155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c r="D55" s="481"/>
      <c r="E55" s="481"/>
      <c r="F55" s="481"/>
      <c r="G55" s="481"/>
      <c r="H55" s="481"/>
      <c r="I55" s="467"/>
      <c r="J55" s="467"/>
      <c r="K55" s="1672">
        <f>SUM(C55:J55)</f>
        <v>0</v>
      </c>
      <c r="L55" s="481"/>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0</v>
      </c>
      <c r="D57" s="1674">
        <f t="shared" ref="D57:K57" si="6">SUM(D55:D56)</f>
        <v>0</v>
      </c>
      <c r="E57" s="1674">
        <f t="shared" si="6"/>
        <v>0</v>
      </c>
      <c r="F57" s="1674">
        <f t="shared" si="6"/>
        <v>0</v>
      </c>
      <c r="G57" s="1674">
        <f t="shared" si="6"/>
        <v>0</v>
      </c>
      <c r="H57" s="1674">
        <f t="shared" si="6"/>
        <v>0</v>
      </c>
      <c r="I57" s="1674">
        <f t="shared" si="6"/>
        <v>0</v>
      </c>
      <c r="J57" s="1674">
        <f t="shared" si="6"/>
        <v>0</v>
      </c>
      <c r="K57" s="1674">
        <f t="shared" si="6"/>
        <v>0</v>
      </c>
      <c r="L57" s="1670">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c r="D60" s="466"/>
      <c r="E60" s="466"/>
      <c r="F60" s="466"/>
      <c r="G60" s="466"/>
      <c r="H60" s="466"/>
      <c r="I60" s="467"/>
      <c r="J60" s="467"/>
      <c r="K60" s="1672">
        <f t="shared" si="7"/>
        <v>0</v>
      </c>
      <c r="L60" s="466"/>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c r="D63" s="466"/>
      <c r="E63" s="466"/>
      <c r="F63" s="466"/>
      <c r="G63" s="466"/>
      <c r="H63" s="466"/>
      <c r="I63" s="467"/>
      <c r="J63" s="467"/>
      <c r="K63" s="1672">
        <f t="shared" si="7"/>
        <v>0</v>
      </c>
      <c r="L63" s="466"/>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0</v>
      </c>
      <c r="D65" s="1670">
        <f t="shared" ref="D65:L65" si="8">SUM(D59:D64)</f>
        <v>0</v>
      </c>
      <c r="E65" s="1670">
        <f t="shared" si="8"/>
        <v>0</v>
      </c>
      <c r="F65" s="1670">
        <f t="shared" si="8"/>
        <v>0</v>
      </c>
      <c r="G65" s="1670">
        <f t="shared" si="8"/>
        <v>0</v>
      </c>
      <c r="H65" s="1670">
        <f t="shared" si="8"/>
        <v>0</v>
      </c>
      <c r="I65" s="1670">
        <f t="shared" si="8"/>
        <v>0</v>
      </c>
      <c r="J65" s="1670">
        <f t="shared" si="8"/>
        <v>0</v>
      </c>
      <c r="K65" s="1670">
        <f t="shared" si="8"/>
        <v>0</v>
      </c>
      <c r="L65" s="1670">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66387</v>
      </c>
      <c r="D74" s="1677">
        <f t="shared" ref="D74:K74" si="10">SUM(D42,D47,D53,D57,D65,D72,D73)</f>
        <v>21955</v>
      </c>
      <c r="E74" s="1677">
        <f t="shared" si="10"/>
        <v>127253</v>
      </c>
      <c r="F74" s="1677">
        <f t="shared" si="10"/>
        <v>0</v>
      </c>
      <c r="G74" s="1677">
        <f t="shared" si="10"/>
        <v>0</v>
      </c>
      <c r="H74" s="1677">
        <f t="shared" si="10"/>
        <v>0</v>
      </c>
      <c r="I74" s="1677">
        <f t="shared" si="10"/>
        <v>0</v>
      </c>
      <c r="J74" s="1677">
        <f t="shared" si="10"/>
        <v>0</v>
      </c>
      <c r="K74" s="1677">
        <f t="shared" si="10"/>
        <v>215595</v>
      </c>
      <c r="L74" s="1677">
        <f>SUM(L42,L47,L53,L57,L65,L72,L73)</f>
        <v>222655</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c r="I79" s="477"/>
      <c r="J79" s="477"/>
      <c r="K79" s="1671">
        <f t="shared" si="11"/>
        <v>0</v>
      </c>
      <c r="L79" s="466"/>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v>1287249</v>
      </c>
      <c r="I81" s="477"/>
      <c r="J81" s="477"/>
      <c r="K81" s="1671">
        <f t="shared" si="11"/>
        <v>1287249</v>
      </c>
      <c r="L81" s="466">
        <v>1522907</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1287249</v>
      </c>
      <c r="I84" s="477"/>
      <c r="J84" s="477"/>
      <c r="K84" s="1670">
        <f>SUM(K78:K83)</f>
        <v>1287249</v>
      </c>
      <c r="L84" s="1670">
        <f>SUM(L78:L83)</f>
        <v>1522907</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1287249</v>
      </c>
      <c r="I102" s="477"/>
      <c r="J102" s="477"/>
      <c r="K102" s="1677">
        <f>SUM(K84,K92,K100,K101)</f>
        <v>1287249</v>
      </c>
      <c r="L102" s="1677">
        <f>SUM(L84,L92,L100,L101)</f>
        <v>1522907</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66387</v>
      </c>
      <c r="D114" s="1670">
        <f t="shared" ref="D114:K114" si="13">SUM(D33,D74,D75,D102,D112,D113)</f>
        <v>21955</v>
      </c>
      <c r="E114" s="1670">
        <f t="shared" si="13"/>
        <v>127253</v>
      </c>
      <c r="F114" s="1670">
        <f t="shared" si="13"/>
        <v>13803</v>
      </c>
      <c r="G114" s="1670">
        <f t="shared" si="13"/>
        <v>0</v>
      </c>
      <c r="H114" s="1670">
        <f>SUM(H33,H74,H75,H102,H112,H113)</f>
        <v>1287249</v>
      </c>
      <c r="I114" s="1670">
        <f t="shared" si="13"/>
        <v>13090</v>
      </c>
      <c r="J114" s="1670">
        <f t="shared" si="13"/>
        <v>0</v>
      </c>
      <c r="K114" s="1670">
        <f t="shared" si="13"/>
        <v>1529737</v>
      </c>
      <c r="L114" s="1670">
        <f>SUM(L33,L74,L75,L102,L112,L113)</f>
        <v>1788141</v>
      </c>
    </row>
    <row r="115" spans="1:14" ht="13.5" thickTop="1" x14ac:dyDescent="0.2">
      <c r="A115" s="2184" t="s">
        <v>996</v>
      </c>
      <c r="B115" s="2185"/>
      <c r="C115" s="618"/>
      <c r="D115" s="618"/>
      <c r="E115" s="618"/>
      <c r="F115" s="618"/>
      <c r="G115" s="618"/>
      <c r="H115" s="618"/>
      <c r="I115" s="618"/>
      <c r="J115" s="618"/>
      <c r="K115" s="1684">
        <f>'Revenues 9-14'!C268-'Expenditures 15-22'!K114</f>
        <v>58624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899999999999999"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c r="D124" s="466"/>
      <c r="E124" s="466"/>
      <c r="F124" s="466"/>
      <c r="G124" s="466"/>
      <c r="H124" s="466"/>
      <c r="I124" s="467"/>
      <c r="J124" s="467"/>
      <c r="K124" s="1670">
        <f>SUM(C124:J124)</f>
        <v>0</v>
      </c>
      <c r="L124" s="466"/>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0</v>
      </c>
      <c r="D127" s="1670">
        <f t="shared" ref="D127:L127" si="14">SUM(D122:D126)</f>
        <v>0</v>
      </c>
      <c r="E127" s="1670">
        <f t="shared" si="14"/>
        <v>0</v>
      </c>
      <c r="F127" s="1670">
        <f t="shared" si="14"/>
        <v>0</v>
      </c>
      <c r="G127" s="1670">
        <f t="shared" si="14"/>
        <v>0</v>
      </c>
      <c r="H127" s="1670">
        <f t="shared" si="14"/>
        <v>0</v>
      </c>
      <c r="I127" s="1670">
        <f t="shared" si="14"/>
        <v>0</v>
      </c>
      <c r="J127" s="1670">
        <f t="shared" si="14"/>
        <v>0</v>
      </c>
      <c r="K127" s="1670">
        <f t="shared" si="14"/>
        <v>0</v>
      </c>
      <c r="L127" s="1670">
        <f t="shared" si="14"/>
        <v>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0</v>
      </c>
      <c r="D129" s="1677">
        <f t="shared" ref="D129:L129" si="15">SUM(D120,D127,D128)</f>
        <v>0</v>
      </c>
      <c r="E129" s="1677">
        <f t="shared" si="15"/>
        <v>0</v>
      </c>
      <c r="F129" s="1677">
        <f t="shared" si="15"/>
        <v>0</v>
      </c>
      <c r="G129" s="1677">
        <f t="shared" si="15"/>
        <v>0</v>
      </c>
      <c r="H129" s="1677">
        <f t="shared" si="15"/>
        <v>0</v>
      </c>
      <c r="I129" s="1677">
        <f t="shared" si="15"/>
        <v>0</v>
      </c>
      <c r="J129" s="1677">
        <f t="shared" si="15"/>
        <v>0</v>
      </c>
      <c r="K129" s="1677">
        <f t="shared" si="15"/>
        <v>0</v>
      </c>
      <c r="L129" s="1677">
        <f t="shared" si="15"/>
        <v>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4" t="s">
        <v>620</v>
      </c>
      <c r="B151" s="2156"/>
      <c r="C151" s="1670">
        <f>SUM(C129,C130,C139,C149,C150)</f>
        <v>0</v>
      </c>
      <c r="D151" s="1670">
        <f t="shared" ref="D151:K151" si="16">SUM(D129,D130,D139,D149,D150)</f>
        <v>0</v>
      </c>
      <c r="E151" s="1670">
        <f t="shared" si="16"/>
        <v>0</v>
      </c>
      <c r="F151" s="1670">
        <f t="shared" si="16"/>
        <v>0</v>
      </c>
      <c r="G151" s="1670">
        <f t="shared" si="16"/>
        <v>0</v>
      </c>
      <c r="H151" s="1670">
        <f t="shared" si="16"/>
        <v>0</v>
      </c>
      <c r="I151" s="1670">
        <f t="shared" si="16"/>
        <v>0</v>
      </c>
      <c r="J151" s="1670">
        <f t="shared" si="16"/>
        <v>0</v>
      </c>
      <c r="K151" s="1670">
        <f t="shared" si="16"/>
        <v>0</v>
      </c>
      <c r="L151" s="1670">
        <f>SUM(L129,L130,L139,L149,L150)</f>
        <v>0</v>
      </c>
    </row>
    <row r="152" spans="1:14" ht="12.75" customHeight="1" thickTop="1" x14ac:dyDescent="0.2">
      <c r="A152" s="2177" t="s">
        <v>1178</v>
      </c>
      <c r="B152" s="2178"/>
      <c r="C152" s="618"/>
      <c r="D152" s="618"/>
      <c r="E152" s="618"/>
      <c r="F152" s="618"/>
      <c r="G152" s="618"/>
      <c r="H152" s="618"/>
      <c r="I152" s="618"/>
      <c r="J152" s="616"/>
      <c r="K152" s="1684">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899999999999999"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c r="I169" s="616"/>
      <c r="J169" s="616"/>
      <c r="K169" s="1671">
        <f>SUM(C169:H169)</f>
        <v>0</v>
      </c>
      <c r="L169" s="656"/>
    </row>
    <row r="170" spans="1:14" ht="33.75" customHeight="1" x14ac:dyDescent="0.2">
      <c r="A170" s="669" t="s">
        <v>1670</v>
      </c>
      <c r="B170" s="671" t="s">
        <v>31</v>
      </c>
      <c r="C170" s="616"/>
      <c r="D170" s="616"/>
      <c r="E170" s="616"/>
      <c r="F170" s="616"/>
      <c r="G170" s="616"/>
      <c r="H170" s="569"/>
      <c r="I170" s="616"/>
      <c r="J170" s="616"/>
      <c r="K170" s="1671">
        <f>SUM(C170:J170)</f>
        <v>0</v>
      </c>
      <c r="L170" s="569"/>
    </row>
    <row r="171" spans="1:14" ht="15.75" customHeight="1" x14ac:dyDescent="0.2">
      <c r="A171" s="621" t="s">
        <v>766</v>
      </c>
      <c r="B171" s="672" t="s">
        <v>84</v>
      </c>
      <c r="C171" s="616"/>
      <c r="D171" s="616"/>
      <c r="E171" s="466"/>
      <c r="F171" s="616"/>
      <c r="G171" s="616"/>
      <c r="H171" s="569"/>
      <c r="I171" s="477"/>
      <c r="J171" s="616"/>
      <c r="K171" s="1671">
        <f>SUM(C171:J171)</f>
        <v>0</v>
      </c>
      <c r="L171" s="569"/>
    </row>
    <row r="172" spans="1:14" ht="12.75" customHeight="1" thickBot="1" x14ac:dyDescent="0.25">
      <c r="A172" s="1668" t="s">
        <v>638</v>
      </c>
      <c r="B172" s="1669" t="s">
        <v>492</v>
      </c>
      <c r="C172" s="616"/>
      <c r="D172" s="616"/>
      <c r="E172" s="1677">
        <f>SUM(E168,E169,E170,E171)</f>
        <v>0</v>
      </c>
      <c r="F172" s="616"/>
      <c r="G172" s="616"/>
      <c r="H172" s="1677">
        <f>SUM(H168,H169,H170,H171)</f>
        <v>0</v>
      </c>
      <c r="I172" s="638"/>
      <c r="J172" s="616"/>
      <c r="K172" s="1677">
        <f>SUM(K168,K169,K170,K171)</f>
        <v>0</v>
      </c>
      <c r="L172" s="1677">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0</v>
      </c>
      <c r="I174" s="638"/>
      <c r="J174" s="616"/>
      <c r="K174" s="1677">
        <f>SUM(K160,K172,K173)</f>
        <v>0</v>
      </c>
      <c r="L174" s="1677">
        <f>SUM(L160,L172,L173)</f>
        <v>0</v>
      </c>
    </row>
    <row r="175" spans="1:14" ht="13.5" thickTop="1" x14ac:dyDescent="0.2">
      <c r="A175" s="2184" t="s">
        <v>996</v>
      </c>
      <c r="B175" s="2185"/>
      <c r="C175" s="616"/>
      <c r="D175" s="616"/>
      <c r="E175" s="616"/>
      <c r="F175" s="616"/>
      <c r="G175" s="616"/>
      <c r="H175" s="618"/>
      <c r="I175" s="616"/>
      <c r="J175" s="616"/>
      <c r="K175" s="1684">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899999999999999"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1">
        <f>SUM(C182:J182)</f>
        <v>0</v>
      </c>
      <c r="L182" s="466"/>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0</v>
      </c>
      <c r="D184" s="1677">
        <f t="shared" ref="D184:J184" si="17">SUM(D180,D182,D183)</f>
        <v>0</v>
      </c>
      <c r="E184" s="1677">
        <f t="shared" si="17"/>
        <v>0</v>
      </c>
      <c r="F184" s="1677">
        <f t="shared" si="17"/>
        <v>0</v>
      </c>
      <c r="G184" s="1677">
        <f t="shared" si="17"/>
        <v>0</v>
      </c>
      <c r="H184" s="1677">
        <f t="shared" si="17"/>
        <v>0</v>
      </c>
      <c r="I184" s="1677">
        <f t="shared" si="17"/>
        <v>0</v>
      </c>
      <c r="J184" s="1677">
        <f t="shared" si="17"/>
        <v>0</v>
      </c>
      <c r="K184" s="1677">
        <f>SUM(K180,K182,K183)</f>
        <v>0</v>
      </c>
      <c r="L184" s="1677">
        <f>SUM(L180, L182:L183)</f>
        <v>0</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0</v>
      </c>
      <c r="D210" s="1670">
        <f>SUM(D184,D185)</f>
        <v>0</v>
      </c>
      <c r="E210" s="1670">
        <f>SUM(E184,E185,E196)</f>
        <v>0</v>
      </c>
      <c r="F210" s="1670">
        <f>SUM(F184,F185)</f>
        <v>0</v>
      </c>
      <c r="G210" s="1670">
        <f>SUM(G184,G185)</f>
        <v>0</v>
      </c>
      <c r="H210" s="1670">
        <f>SUM(H184,H185,H196,H208,H209)</f>
        <v>0</v>
      </c>
      <c r="I210" s="1670">
        <f>SUM(I184,I185)</f>
        <v>0</v>
      </c>
      <c r="J210" s="1670">
        <f>SUM(J184,J185)</f>
        <v>0</v>
      </c>
      <c r="K210" s="1671">
        <f>SUM(K184,K185,K196,K208,K209)</f>
        <v>0</v>
      </c>
      <c r="L210" s="1670">
        <f>SUM(L184,L185,L196,L208,L209)</f>
        <v>0</v>
      </c>
    </row>
    <row r="211" spans="1:14" ht="13.5" thickTop="1" x14ac:dyDescent="0.2">
      <c r="A211" s="2184" t="s">
        <v>996</v>
      </c>
      <c r="B211" s="2185"/>
      <c r="C211" s="618"/>
      <c r="D211" s="618"/>
      <c r="E211" s="618"/>
      <c r="F211" s="618"/>
      <c r="G211" s="618"/>
      <c r="H211" s="618"/>
      <c r="I211" s="616"/>
      <c r="J211" s="616"/>
      <c r="K211" s="1684">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899999999999999"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1">
        <f>D215</f>
        <v>0</v>
      </c>
      <c r="L215" s="466"/>
    </row>
    <row r="216" spans="1:14" x14ac:dyDescent="0.2">
      <c r="A216" s="1504" t="s">
        <v>163</v>
      </c>
      <c r="B216" s="614" t="s">
        <v>967</v>
      </c>
      <c r="C216" s="616"/>
      <c r="D216" s="467"/>
      <c r="E216" s="616"/>
      <c r="F216" s="616"/>
      <c r="G216" s="616"/>
      <c r="H216" s="616"/>
      <c r="I216" s="616"/>
      <c r="J216" s="616"/>
      <c r="K216" s="1671">
        <f t="shared" ref="K216:K228" si="19">D216</f>
        <v>0</v>
      </c>
      <c r="L216" s="466"/>
    </row>
    <row r="217" spans="1:14" x14ac:dyDescent="0.2">
      <c r="A217" s="1504" t="s">
        <v>164</v>
      </c>
      <c r="B217" s="614">
        <v>1200</v>
      </c>
      <c r="C217" s="616"/>
      <c r="D217" s="466"/>
      <c r="E217" s="616"/>
      <c r="F217" s="616"/>
      <c r="G217" s="616"/>
      <c r="H217" s="616"/>
      <c r="I217" s="616"/>
      <c r="J217" s="616"/>
      <c r="K217" s="1671">
        <f t="shared" si="19"/>
        <v>0</v>
      </c>
      <c r="L217" s="466"/>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c r="E219" s="616"/>
      <c r="F219" s="616"/>
      <c r="G219" s="616"/>
      <c r="H219" s="616"/>
      <c r="I219" s="616"/>
      <c r="J219" s="616"/>
      <c r="K219" s="1671">
        <f t="shared" si="19"/>
        <v>0</v>
      </c>
      <c r="L219" s="466"/>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c r="E223" s="616"/>
      <c r="F223" s="616"/>
      <c r="G223" s="616"/>
      <c r="H223" s="616"/>
      <c r="I223" s="616"/>
      <c r="J223" s="616"/>
      <c r="K223" s="1671">
        <f t="shared" si="19"/>
        <v>0</v>
      </c>
      <c r="L223" s="466"/>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0</v>
      </c>
      <c r="E229" s="616"/>
      <c r="F229" s="616"/>
      <c r="G229" s="616"/>
      <c r="H229" s="616"/>
      <c r="I229" s="616"/>
      <c r="J229" s="616"/>
      <c r="K229" s="1670">
        <f>SUM(K215:K228)</f>
        <v>0</v>
      </c>
      <c r="L229" s="1670">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0</v>
      </c>
      <c r="E238" s="616"/>
      <c r="F238" s="616"/>
      <c r="G238" s="616"/>
      <c r="H238" s="616"/>
      <c r="I238" s="616"/>
      <c r="J238" s="616"/>
      <c r="K238" s="1670">
        <f>SUM(K232:K237)</f>
        <v>0</v>
      </c>
      <c r="L238" s="1670">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2">
        <f>D240</f>
        <v>0</v>
      </c>
      <c r="L240" s="481"/>
    </row>
    <row r="241" spans="1:12" x14ac:dyDescent="0.2">
      <c r="A241" s="1504" t="s">
        <v>815</v>
      </c>
      <c r="B241" s="614">
        <v>2220</v>
      </c>
      <c r="C241" s="616"/>
      <c r="D241" s="466"/>
      <c r="E241" s="616"/>
      <c r="F241" s="616"/>
      <c r="G241" s="616"/>
      <c r="H241" s="616"/>
      <c r="I241" s="616"/>
      <c r="J241" s="616"/>
      <c r="K241" s="1672">
        <f>D241</f>
        <v>0</v>
      </c>
      <c r="L241" s="466"/>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0</v>
      </c>
      <c r="E243" s="616"/>
      <c r="F243" s="616"/>
      <c r="G243" s="616"/>
      <c r="H243" s="616"/>
      <c r="I243" s="616"/>
      <c r="J243" s="616"/>
      <c r="K243" s="1670">
        <f>SUM(K240:K242)</f>
        <v>0</v>
      </c>
      <c r="L243" s="1670">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2">
        <f>D245</f>
        <v>0</v>
      </c>
      <c r="L245" s="481"/>
    </row>
    <row r="246" spans="1:12" x14ac:dyDescent="0.2">
      <c r="A246" s="1504" t="s">
        <v>818</v>
      </c>
      <c r="B246" s="614">
        <v>2320</v>
      </c>
      <c r="C246" s="616"/>
      <c r="D246" s="466"/>
      <c r="E246" s="616"/>
      <c r="F246" s="616"/>
      <c r="G246" s="616"/>
      <c r="H246" s="616"/>
      <c r="I246" s="616"/>
      <c r="J246" s="616"/>
      <c r="K246" s="1672">
        <f t="shared" ref="K246:K256" si="21">D246</f>
        <v>0</v>
      </c>
      <c r="L246" s="466"/>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0</v>
      </c>
      <c r="E257" s="616"/>
      <c r="F257" s="616"/>
      <c r="G257" s="616"/>
      <c r="H257" s="616"/>
      <c r="I257" s="616"/>
      <c r="J257" s="616"/>
      <c r="K257" s="1670">
        <f>SUM(K245:K256)</f>
        <v>0</v>
      </c>
      <c r="L257" s="1670">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2">
        <f>D259</f>
        <v>0</v>
      </c>
      <c r="L259" s="481"/>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0</v>
      </c>
      <c r="E261" s="616"/>
      <c r="F261" s="616"/>
      <c r="G261" s="616"/>
      <c r="H261" s="616"/>
      <c r="I261" s="616"/>
      <c r="J261" s="616"/>
      <c r="K261" s="1670">
        <f>SUM(K259:K260)</f>
        <v>0</v>
      </c>
      <c r="L261" s="1670">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c r="E264" s="616"/>
      <c r="F264" s="616"/>
      <c r="G264" s="616"/>
      <c r="H264" s="616"/>
      <c r="I264" s="616"/>
      <c r="J264" s="616"/>
      <c r="K264" s="1672">
        <f t="shared" ref="K264:K269" si="22">D264</f>
        <v>0</v>
      </c>
      <c r="L264" s="466"/>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c r="E266" s="616"/>
      <c r="F266" s="616"/>
      <c r="G266" s="616"/>
      <c r="H266" s="616"/>
      <c r="I266" s="616"/>
      <c r="J266" s="616"/>
      <c r="K266" s="1672">
        <f t="shared" si="22"/>
        <v>0</v>
      </c>
      <c r="L266" s="466"/>
    </row>
    <row r="267" spans="1:14" x14ac:dyDescent="0.2">
      <c r="A267" s="1504" t="s">
        <v>953</v>
      </c>
      <c r="B267" s="614">
        <v>2550</v>
      </c>
      <c r="C267" s="616"/>
      <c r="D267" s="466"/>
      <c r="E267" s="616"/>
      <c r="F267" s="616"/>
      <c r="G267" s="616"/>
      <c r="H267" s="616"/>
      <c r="I267" s="616"/>
      <c r="J267" s="616"/>
      <c r="K267" s="1672">
        <f t="shared" si="22"/>
        <v>0</v>
      </c>
      <c r="L267" s="466"/>
    </row>
    <row r="268" spans="1:14" x14ac:dyDescent="0.2">
      <c r="A268" s="1504" t="s">
        <v>100</v>
      </c>
      <c r="B268" s="614">
        <v>2560</v>
      </c>
      <c r="C268" s="616"/>
      <c r="D268" s="466"/>
      <c r="E268" s="616"/>
      <c r="F268" s="616"/>
      <c r="G268" s="616"/>
      <c r="H268" s="616"/>
      <c r="I268" s="616"/>
      <c r="J268" s="616"/>
      <c r="K268" s="1672">
        <f t="shared" si="22"/>
        <v>0</v>
      </c>
      <c r="L268" s="466"/>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0</v>
      </c>
      <c r="E270" s="616"/>
      <c r="F270" s="616"/>
      <c r="G270" s="616"/>
      <c r="H270" s="616"/>
      <c r="I270" s="616"/>
      <c r="J270" s="616"/>
      <c r="K270" s="1670">
        <f>SUM(K263:K269)</f>
        <v>0</v>
      </c>
      <c r="L270" s="1670">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0</v>
      </c>
      <c r="E279" s="616"/>
      <c r="F279" s="616"/>
      <c r="G279" s="616"/>
      <c r="H279" s="616"/>
      <c r="I279" s="616"/>
      <c r="J279" s="616"/>
      <c r="K279" s="1677">
        <f>SUM(K238,K243,K257,K261,K270,K277,K278)</f>
        <v>0</v>
      </c>
      <c r="L279" s="1677">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5" t="s">
        <v>505</v>
      </c>
      <c r="B295" s="2176"/>
      <c r="C295" s="616"/>
      <c r="D295" s="1670">
        <f>SUM(D229,D279,D280,D285)</f>
        <v>0</v>
      </c>
      <c r="E295" s="616"/>
      <c r="F295" s="616"/>
      <c r="G295" s="616"/>
      <c r="H295" s="1670">
        <f>H293</f>
        <v>0</v>
      </c>
      <c r="I295" s="616"/>
      <c r="J295" s="616"/>
      <c r="K295" s="1670">
        <f>SUM(K229,K279,K280,K285,K293,K294)</f>
        <v>0</v>
      </c>
      <c r="L295" s="1670">
        <f>SUM(L229,L279,L280,L285,L293,L294)</f>
        <v>0</v>
      </c>
    </row>
    <row r="296" spans="1:14" ht="13.5" thickTop="1" x14ac:dyDescent="0.2">
      <c r="A296" s="2184" t="s">
        <v>996</v>
      </c>
      <c r="B296" s="2185"/>
      <c r="C296" s="616"/>
      <c r="D296" s="618"/>
      <c r="E296" s="616"/>
      <c r="F296" s="616"/>
      <c r="G296" s="616"/>
      <c r="H296" s="687"/>
      <c r="I296" s="616"/>
      <c r="J296" s="616"/>
      <c r="K296" s="1684">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899999999999999"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1">
        <f>SUM(C301:J301)</f>
        <v>0</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0</v>
      </c>
      <c r="H303" s="1677">
        <f t="shared" si="23"/>
        <v>0</v>
      </c>
      <c r="I303" s="1677">
        <f t="shared" si="23"/>
        <v>0</v>
      </c>
      <c r="J303" s="1677">
        <f t="shared" si="23"/>
        <v>0</v>
      </c>
      <c r="K303" s="1677">
        <f t="shared" si="23"/>
        <v>0</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0</v>
      </c>
      <c r="H312" s="1670">
        <f>SUM(H303,H310)</f>
        <v>0</v>
      </c>
      <c r="I312" s="1670">
        <f>SUM(I303)</f>
        <v>0</v>
      </c>
      <c r="J312" s="1670">
        <f>SUM(J303)</f>
        <v>0</v>
      </c>
      <c r="K312" s="1670">
        <f>SUM(K303,K310,K311)</f>
        <v>0</v>
      </c>
      <c r="L312" s="1670">
        <f>SUM(L303,L310,L311)</f>
        <v>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899999999999999"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899999999999999"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71">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71">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71">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71">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0</v>
      </c>
      <c r="F330" s="1670">
        <f t="shared" si="25"/>
        <v>0</v>
      </c>
      <c r="G330" s="1670">
        <f t="shared" si="25"/>
        <v>0</v>
      </c>
      <c r="H330" s="1670">
        <f t="shared" si="25"/>
        <v>0</v>
      </c>
      <c r="I330" s="1670">
        <f t="shared" si="25"/>
        <v>0</v>
      </c>
      <c r="J330" s="1670">
        <f t="shared" si="25"/>
        <v>0</v>
      </c>
      <c r="K330" s="1670">
        <f>SUM(K319:K329)</f>
        <v>0</v>
      </c>
      <c r="L330" s="1670">
        <f>SUM(L319:L329)</f>
        <v>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0</v>
      </c>
      <c r="F342" s="1670">
        <f>SUM(F330)</f>
        <v>0</v>
      </c>
      <c r="G342" s="1670">
        <f>SUM(G330)</f>
        <v>0</v>
      </c>
      <c r="H342" s="1670">
        <f>SUM(H330,H334,H340)</f>
        <v>0</v>
      </c>
      <c r="I342" s="1670">
        <f>SUM(I330)</f>
        <v>0</v>
      </c>
      <c r="J342" s="1670">
        <f>SUM(J330)</f>
        <v>0</v>
      </c>
      <c r="K342" s="1670">
        <f>SUM(K330,K334,K340)</f>
        <v>0</v>
      </c>
      <c r="L342" s="1677">
        <f>SUM(L330,L334,L340,L341)</f>
        <v>0</v>
      </c>
    </row>
    <row r="343" spans="1:14" ht="12.75" customHeight="1" thickTop="1" x14ac:dyDescent="0.2">
      <c r="A343" s="2170" t="s">
        <v>996</v>
      </c>
      <c r="B343" s="2171"/>
      <c r="C343" s="616"/>
      <c r="D343" s="616"/>
      <c r="E343" s="616"/>
      <c r="F343" s="616"/>
      <c r="G343" s="616"/>
      <c r="H343" s="616"/>
      <c r="I343" s="616"/>
      <c r="J343" s="616"/>
      <c r="K343" s="1684">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899999999999999"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4" t="s">
        <v>996</v>
      </c>
      <c r="B368" s="2185"/>
      <c r="C368" s="654"/>
      <c r="D368" s="654"/>
      <c r="E368" s="626"/>
      <c r="F368" s="626"/>
      <c r="G368" s="626"/>
      <c r="H368" s="626"/>
      <c r="I368" s="626"/>
      <c r="J368" s="623"/>
      <c r="K368" s="1671">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d21dc803-237d-4c68-8692-8d731fd29118"/>
    <ds:schemaRef ds:uri="http://schemas.microsoft.com/office/2006/documentManagement/types"/>
    <ds:schemaRef ds:uri="http://purl.org/dc/dcmitype/"/>
    <ds:schemaRef ds:uri="http://schemas.microsoft.com/sharepoint/v3"/>
    <ds:schemaRef ds:uri="http://purl.org/dc/elements/1.1/"/>
    <ds:schemaRef ds:uri="http://schemas.openxmlformats.org/package/2006/metadata/core-properties"/>
    <ds:schemaRef ds:uri="http://www.w3.org/XML/1998/namespace"/>
    <ds:schemaRef ds:uri="http://schemas.microsoft.com/office/infopath/2007/PartnerControls"/>
    <ds:schemaRef ds:uri="4d435f69-8686-490b-bd6d-b153bf22ab50"/>
    <ds:schemaRef ds:uri="http://purl.org/dc/te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2019-11-13T23:28:53Z</cp:lastPrinted>
  <dcterms:created xsi:type="dcterms:W3CDTF">2003-10-29T19:06:34Z</dcterms:created>
  <dcterms:modified xsi:type="dcterms:W3CDTF">2020-01-14T21:20:41Z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