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087C40E9-9681-485F-A2C0-E27E20E7CAE1}"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EFA NOTES (2)" sheetId="185"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31">'SEFA NOTES (2)'!$A$1:$F$52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185" l="1"/>
  <c r="A4" i="185"/>
  <c r="D18" i="173"/>
  <c r="H22" i="184" l="1"/>
  <c r="G22" i="184"/>
  <c r="E22" i="184"/>
  <c r="M24" i="179"/>
  <c r="K24" i="179"/>
  <c r="H24" i="179"/>
  <c r="G24" i="179"/>
  <c r="E24" i="179"/>
  <c r="M22" i="179"/>
  <c r="K22" i="179"/>
  <c r="H22" i="179"/>
  <c r="G22" i="179"/>
  <c r="E22" i="179"/>
  <c r="M15" i="179"/>
  <c r="K15" i="179"/>
  <c r="J15" i="179"/>
  <c r="I15" i="179"/>
  <c r="H15" i="179"/>
  <c r="G15" i="179"/>
  <c r="F15" i="179"/>
  <c r="E15" i="179"/>
  <c r="M20" i="179"/>
  <c r="K20" i="179"/>
  <c r="J20" i="179"/>
  <c r="I20" i="179"/>
  <c r="H20" i="179"/>
  <c r="G20" i="179"/>
  <c r="F20" i="179"/>
  <c r="E20" i="179"/>
  <c r="H24" i="183"/>
  <c r="G24" i="183"/>
  <c r="E24" i="183"/>
  <c r="H22" i="183"/>
  <c r="G22" i="183"/>
  <c r="E22" i="183"/>
  <c r="M20" i="183"/>
  <c r="K20" i="183"/>
  <c r="J20" i="183"/>
  <c r="I20" i="183"/>
  <c r="H20" i="183"/>
  <c r="G20" i="183"/>
  <c r="F20" i="183"/>
  <c r="F22" i="183" s="1"/>
  <c r="F24" i="183" s="1"/>
  <c r="E20" i="183"/>
  <c r="M15" i="183"/>
  <c r="L15" i="183"/>
  <c r="K15" i="183"/>
  <c r="K22" i="183" s="1"/>
  <c r="K24" i="183" s="1"/>
  <c r="K22" i="184" s="1"/>
  <c r="J15" i="183"/>
  <c r="J22" i="183" s="1"/>
  <c r="J24" i="183" s="1"/>
  <c r="J22" i="184" s="1"/>
  <c r="I15" i="183"/>
  <c r="H15" i="183"/>
  <c r="G15" i="183"/>
  <c r="F15" i="183"/>
  <c r="E15" i="183"/>
  <c r="M20" i="184"/>
  <c r="K20" i="184"/>
  <c r="H20" i="184"/>
  <c r="G20" i="184"/>
  <c r="E20" i="184"/>
  <c r="M18" i="184"/>
  <c r="K18" i="184"/>
  <c r="J18" i="184"/>
  <c r="J20" i="184" s="1"/>
  <c r="I18" i="184"/>
  <c r="I20" i="184" s="1"/>
  <c r="H18" i="184"/>
  <c r="G18" i="184"/>
  <c r="F18" i="184"/>
  <c r="F20" i="184" s="1"/>
  <c r="E18" i="184"/>
  <c r="L17" i="184"/>
  <c r="L16" i="184"/>
  <c r="L14" i="184"/>
  <c r="L13" i="184"/>
  <c r="B4" i="184"/>
  <c r="L19" i="183"/>
  <c r="L20" i="183" s="1"/>
  <c r="L18" i="183"/>
  <c r="L14" i="183"/>
  <c r="L13" i="183"/>
  <c r="B4" i="183"/>
  <c r="F15" i="127"/>
  <c r="L18" i="184" l="1"/>
  <c r="L20" i="184" s="1"/>
  <c r="M22" i="183"/>
  <c r="M24" i="183" s="1"/>
  <c r="M22" i="184" s="1"/>
  <c r="L22" i="183"/>
  <c r="L24" i="183" s="1"/>
  <c r="I22" i="183"/>
  <c r="I24" i="183" s="1"/>
  <c r="J22" i="179"/>
  <c r="J24" i="179" s="1"/>
  <c r="I22" i="179"/>
  <c r="I24" i="179" s="1"/>
  <c r="I22" i="184" s="1"/>
  <c r="F22" i="179"/>
  <c r="F24" i="179" s="1"/>
  <c r="F22"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9" i="179" l="1"/>
  <c r="L18" i="179"/>
  <c r="L14" i="179"/>
  <c r="L13" i="179"/>
  <c r="L15" i="179" s="1"/>
  <c r="L20" i="179" l="1"/>
  <c r="L22" i="179" s="1"/>
  <c r="L24" i="179" s="1"/>
  <c r="L22" i="184"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5" l="1"/>
  <c r="B1" i="184"/>
  <c r="B1" i="183"/>
  <c r="B2" i="179"/>
  <c r="A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5" i="127"/>
  <c r="B66" i="127"/>
  <c r="E26" i="108"/>
  <c r="G26" i="108"/>
  <c r="D27" i="108"/>
  <c r="E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D9" i="7"/>
  <c r="B1767" i="106" s="1"/>
  <c r="D1767" i="106" s="1"/>
  <c r="D17" i="7"/>
  <c r="B4104" i="106" s="1"/>
  <c r="D4104" i="106" s="1"/>
  <c r="L15" i="11" l="1"/>
  <c r="B3459" i="106" s="1"/>
  <c r="D3459" i="106" s="1"/>
  <c r="F19" i="7"/>
  <c r="B1807" i="106" s="1"/>
  <c r="D1807" i="106" s="1"/>
  <c r="F70" i="34"/>
  <c r="F62" i="34"/>
  <c r="G38" i="108"/>
  <c r="F26" i="108"/>
  <c r="B6995" i="106"/>
  <c r="D6995" i="106" s="1"/>
  <c r="J22" i="37"/>
  <c r="F34" i="34"/>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4" i="36" l="1"/>
  <c r="C114" i="29"/>
  <c r="B757" i="106" s="1"/>
  <c r="D757"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B6227" i="106" l="1"/>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<sst xmlns="http://schemas.openxmlformats.org/spreadsheetml/2006/main" count="5269" uniqueCount="2144">
  <si>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</si>
  <si>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</si>
  <si>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</si>
  <si>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</si>
  <si>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</si>
  <si>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</si>
  <si>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</si>
  <si>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</si>
  <si>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</si>
  <si>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</si>
  <si>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</si>
  <si>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</si>
  <si>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</si>
  <si>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</si>
  <si>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</si>
  <si>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</si>
  <si>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</si>
  <si>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</si>
  <si>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</si>
  <si>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</si>
  <si>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</si>
  <si>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</si>
  <si>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</si>
  <si>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</si>
  <si>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</si>
  <si>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</si>
  <si>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</si>
  <si>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</si>
  <si>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</si>
  <si>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</si>
  <si>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</si>
  <si>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</si>
  <si>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</si>
  <si>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</si>
  <si>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</si>
  <si>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</si>
  <si>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</si>
  <si>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</si>
  <si>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</si>
  <si>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</si>
  <si>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</si>
  <si>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</si>
  <si>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</si>
  <si>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</si>
  <si>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</si>
  <si>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</si>
  <si>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</si>
  <si>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</si>
  <si>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</si>
  <si>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</si>
  <si>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</si>
  <si>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</si>
  <si>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</si>
  <si>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</si>
  <si>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</si>
  <si>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</si>
  <si>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</si>
  <si>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</si>
  <si>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</si>
  <si>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</si>
  <si>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</si>
  <si>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</si>
  <si>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</si>
  <si>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</si>
  <si>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</si>
  <si>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</si>
  <si>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</si>
  <si>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</si>
  <si>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</si>
  <si>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</si>
  <si>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</si>
  <si>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</si>
  <si>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</si>
  <si>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</si>
  <si>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</si>
  <si>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</si>
  <si>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</si>
  <si>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</si>
  <si>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</si>
  <si>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</si>
  <si>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</si>
  <si>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</si>
  <si>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</si>
  <si>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</si>
  <si>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</si>
  <si>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</si>
  <si>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</si>
  <si>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</si>
  <si>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</si>
  <si>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</si>
  <si>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</si>
  <si>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</si>
  <si>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</si>
  <si>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</si>
  <si>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</si>
  <si>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</si>
  <si>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</si>
  <si>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</si>
  <si>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</si>
  <si>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</si>
  <si>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</si>
  <si>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</si>
  <si>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</si>
  <si>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</si>
  <si>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</si>
  <si>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</si>
  <si>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</si>
  <si>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</si>
  <si>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</si>
  <si>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</si>
  <si>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</si>
  <si>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</si>
  <si>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</si>
  <si>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</si>
  <si>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</si>
  <si>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</si>
  <si>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</si>
  <si>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</si>
  <si>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</si>
  <si>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</si>
  <si>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</si>
  <si>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</si>
  <si>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</si>
  <si>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</si>
  <si>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</si>
  <si>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</si>
  <si>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</si>
  <si>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</si>
  <si>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</si>
  <si>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</si>
  <si>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</si>
  <si>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</si>
  <si>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</si>
  <si>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</si>
  <si>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</si>
  <si>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</si>
  <si>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</si>
  <si>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</si>
  <si>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</si>
  <si>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</si>
  <si>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</si>
  <si>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</si>
  <si>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</si>
  <si>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</si>
  <si>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</si>
  <si>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</si>
  <si>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</si>
  <si>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</si>
  <si>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</si>
  <si>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</si>
  <si>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</si>
  <si>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</si>
  <si>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</si>
  <si>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</si>
  <si>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</si>
  <si>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</si>
  <si>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</si>
  <si>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</si>
  <si>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</si>
  <si>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</si>
  <si>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</si>
  <si>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</si>
  <si>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</si>
  <si>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</si>
  <si>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</si>
  <si>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</si>
  <si>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</si>
  <si>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</si>
  <si>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</si>
  <si>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</si>
  <si>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</si>
  <si>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</si>
  <si>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</si>
  <si>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</si>
  <si>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</si>
  <si>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</si>
  <si>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</si>
  <si>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</si>
  <si>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</si>
  <si>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</si>
  <si>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</si>
  <si>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</si>
  <si>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</si>
  <si>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</si>
  <si>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</si>
  <si>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</si>
  <si>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</si>
  <si>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</si>
  <si>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</si>
  <si>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</si>
  <si>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</si>
  <si>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</si>
  <si>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</si>
  <si>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</si>
  <si>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</si>
  <si>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</si>
  <si>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</si>
  <si>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</si>
  <si>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</si>
  <si>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</si>
  <si>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</si>
  <si>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</si>
  <si>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</si>
  <si>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</si>
  <si>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</si>
  <si>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</si>
  <si>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</si>
  <si>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</si>
  <si>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</si>
  <si>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</si>
  <si>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</si>
  <si>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</si>
  <si>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</si>
  <si>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</si>
  <si>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</si>
  <si>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</si>
  <si>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</si>
  <si>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</si>
  <si>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</si>
  <si>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</si>
  <si>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</si>
  <si>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</si>
  <si>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</si>
  <si>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</si>
  <si>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</si>
  <si>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</si>
  <si>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</si>
  <si>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</si>
  <si>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</si>
  <si>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</si>
  <si>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</si>
  <si>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</si>
  <si>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</si>
  <si>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</si>
  <si>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</si>
  <si>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</si>
  <si>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</si>
  <si>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</si>
  <si>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</si>
  <si>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</si>
  <si>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</si>
  <si>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</si>
  <si>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</si>
  <si>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</si>
  <si>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</si>
  <si>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</si>
  <si>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</si>
  <si>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</si>
  <si>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</si>
  <si>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</si>
  <si>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</si>
  <si>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</si>
  <si>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</si>
  <si>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</si>
  <si>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</si>
  <si>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</si>
  <si>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</si>
  <si>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</si>
  <si>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</si>
  <si>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</si>
  <si>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</si>
  <si>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</si>
  <si>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</si>
  <si>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</si>
  <si>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</si>
  <si>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</si>
  <si>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</si>
  <si>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</si>
  <si>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</si>
  <si>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</si>
  <si>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</si>
  <si>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</si>
  <si>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</si>
  <si>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</si>
  <si>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</si>
  <si>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</si>
  <si>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</si>
  <si>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</si>
  <si>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</si>
  <si>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</si>
  <si>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</si>
  <si>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</si>
  <si>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</si>
  <si>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</si>
  <si>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</si>
  <si>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</si>
  <si>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</si>
  <si>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</si>
  <si>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</si>
  <si>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</si>
  <si>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</si>
  <si>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</si>
  <si>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</si>
  <si>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</si>
  <si>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</si>
  <si>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</si>
  <si>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</si>
  <si>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</si>
  <si>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</si>
  <si>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</si>
  <si>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</si>
  <si>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</si>
  <si>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</si>
  <si>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</si>
  <si>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</si>
  <si>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</si>
  <si>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</si>
  <si>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</si>
  <si>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</si>
  <si>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</si>
  <si>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</si>
  <si>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</si>
  <si>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</si>
  <si>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</si>
  <si>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</si>
  <si>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</si>
  <si>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</si>
  <si>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</si>
  <si>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</si>
  <si>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</si>
  <si>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</si>
  <si>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</si>
  <si>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</si>
  <si>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</si>
  <si>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</si>
  <si>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</si>
  <si>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</si>
  <si>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</si>
  <si>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</si>
  <si>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</si>
  <si>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</si>
  <si>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</si>
  <si>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</si>
  <si>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</si>
  <si>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</si>
  <si>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</si>
  <si>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</si>
  <si>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</si>
  <si>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</si>
  <si>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</si>
  <si>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</si>
  <si>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</si>
  <si>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</si>
  <si>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</si>
  <si>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</si>
  <si>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</si>
  <si>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</si>
  <si>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</si>
  <si>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</si>
  <si>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</si>
  <si>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</si>
  <si>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</si>
  <si>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</si>
  <si>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</si>
  <si>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</si>
  <si>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</si>
  <si>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</si>
  <si>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</si>
  <si>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</si>
  <si>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</si>
  <si>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</si>
  <si>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</si>
  <si>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</si>
  <si>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</si>
  <si>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</si>
  <si>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</si>
  <si>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</si>
  <si>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</si>
  <si>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</si>
  <si>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</si>
  <si>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</si>
  <si>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</si>
  <si>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</si>
  <si>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</si>
  <si>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</si>
  <si>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</si>
  <si>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</si>
  <si>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</si>
  <si>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</si>
  <si>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</si>
  <si>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</si>
  <si>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</si>
  <si>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</si>
  <si>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</si>
  <si>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</si>
  <si>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</si>
  <si>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</si>
  <si>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</si>
  <si>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</si>
  <si>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</si>
  <si>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</si>
  <si>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</si>
  <si>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</si>
  <si>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</si>
  <si>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</si>
  <si>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</si>
  <si>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</si>
  <si>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</si>
  <si>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</si>
  <si>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</si>
  <si>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</si>
  <si>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</si>
  <si>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</si>
  <si>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</si>
  <si>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</si>
  <si>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</si>
  <si>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</si>
  <si>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</si>
  <si>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</si>
  <si>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</si>
  <si>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</si>
  <si>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</si>
  <si>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</si>
  <si>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</si>
  <si>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</si>
  <si>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</si>
  <si>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</si>
  <si>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</si>
  <si>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</si>
  <si>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</si>
  <si>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</si>
  <si>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</si>
  <si>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</si>
  <si>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</si>
  <si>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</si>
  <si>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</si>
  <si>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</si>
  <si>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</si>
  <si>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</si>
  <si>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</si>
  <si>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</si>
  <si>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</si>
  <si>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</si>
  <si>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</si>
  <si>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</si>
  <si>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</si>
  <si>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</si>
  <si>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</si>
  <si>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</si>
  <si>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</si>
  <si>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</si>
  <si>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</si>
  <si>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</si>
  <si>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</si>
  <si>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</si>
  <si>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</si>
  <si>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</si>
  <si>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</si>
  <si>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</si>
  <si>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</si>
  <si>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</si>
  <si>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</si>
  <si>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</si>
  <si>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</si>
  <si>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</si>
  <si>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</si>
  <si>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</si>
  <si>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</si>
  <si>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</si>
  <si>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</si>
  <si>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</si>
  <si>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</si>
  <si>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</si>
  <si>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</si>
  <si>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</si>
  <si>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</si>
  <si>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</si>
  <si>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</si>
  <si>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</si>
  <si>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</si>
  <si>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</si>
  <si>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</si>
  <si>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</si>
  <si>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</si>
  <si>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</si>
  <si>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</si>
  <si>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</si>
  <si>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</si>
  <si>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</si>
  <si>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</si>
  <si>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</si>
  <si>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</si>
  <si>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</si>
  <si>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</si>
  <si>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</si>
  <si>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</si>
  <si>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</si>
  <si>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</si>
  <si>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</si>
  <si>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</si>
  <si>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</si>
  <si>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</si>
  <si>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</si>
  <si>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</si>
  <si>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</si>
  <si>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</si>
  <si>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</si>
  <si>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</si>
  <si>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</si>
  <si>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</si>
  <si>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</si>
  <si>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</si>
  <si>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</si>
  <si>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</si>
  <si>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</si>
  <si>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</si>
  <si>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</si>
  <si>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</si>
  <si>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</si>
  <si>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</si>
  <si>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</si>
  <si>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</si>
  <si>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</si>
  <si>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</si>
  <si>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</si>
  <si>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</si>
  <si>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</si>
  <si>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</si>
  <si>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</si>
  <si>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</si>
  <si>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</si>
  <si>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</si>
  <si>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</si>
  <si>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</si>
  <si>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</si>
  <si>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</si>
  <si>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</si>
  <si>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</si>
  <si>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</si>
  <si>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</si>
  <si>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</si>
  <si>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</si>
  <si>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</si>
  <si>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</si>
  <si>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</si>
  <si>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</si>
  <si>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</si>
  <si>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</si>
  <si>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</si>
  <si>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</si>
  <si>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</si>
  <si>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</si>
  <si>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</si>
  <si>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</si>
  <si>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</si>
  <si>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</si>
  <si>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</si>
  <si>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</si>
  <si>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</si>
  <si>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</si>
  <si>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</si>
  <si>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</si>
  <si>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</si>
  <si>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</si>
  <si>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</si>
  <si>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</si>
  <si>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</si>
  <si>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</si>
  <si>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</si>
  <si>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</si>
  <si>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</si>
  <si>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</si>
  <si>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</si>
  <si>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</si>
  <si>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</si>
  <si>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</si>
  <si>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</si>
  <si>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</si>
  <si>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</si>
  <si>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</si>
  <si>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</si>
  <si>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</si>
  <si>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</si>
  <si>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</si>
  <si>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</si>
  <si>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</si>
  <si>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</si>
  <si>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</si>
  <si>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</si>
  <si>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</si>
  <si>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</si>
  <si>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</si>
  <si>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</si>
  <si>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</si>
  <si>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</si>
  <si>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</si>
  <si>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</si>
  <si>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</si>
  <si>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</si>
  <si>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</si>
  <si>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</si>
  <si>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</si>
  <si>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</si>
  <si>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</si>
  <si>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</si>
  <si>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</si>
  <si>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</si>
  <si>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</si>
  <si>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</si>
  <si>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</si>
  <si>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</si>
  <si>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</si>
  <si>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</si>
  <si>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</si>
  <si>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</si>
  <si>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</si>
  <si>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</si>
  <si>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</si>
  <si>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</si>
  <si>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</si>
  <si>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</si>
  <si>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</si>
  <si>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</si>
  <si>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</si>
  <si>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</si>
  <si>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</si>
  <si>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</si>
  <si>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</si>
  <si>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</si>
  <si>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</si>
  <si>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</si>
  <si>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</si>
  <si>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</si>
  <si>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</si>
  <si>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</si>
  <si>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</si>
  <si>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</si>
  <si>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</si>
  <si>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</si>
  <si>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</si>
  <si>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</si>
  <si>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</si>
  <si>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</si>
  <si>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</si>
  <si>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</si>
  <si>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</si>
  <si>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</si>
  <si>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</si>
  <si>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</si>
  <si>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</si>
  <si>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</si>
  <si>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</si>
  <si>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</si>
  <si>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</si>
  <si>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</si>
  <si>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</si>
  <si>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</si>
  <si>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</si>
  <si>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</si>
  <si>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</si>
  <si>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</si>
  <si>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</si>
  <si>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</si>
  <si>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</si>
  <si>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</si>
  <si>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</si>
  <si>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</si>
  <si>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</si>
  <si>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</si>
  <si>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</si>
  <si>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</si>
  <si>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</si>
  <si>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</si>
  <si>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</si>
  <si>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</si>
  <si>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</si>
  <si>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</si>
  <si>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</si>
  <si>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</si>
  <si>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</si>
  <si>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</si>
  <si>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</si>
  <si>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</si>
  <si>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</si>
  <si>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</si>
  <si>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</si>
  <si>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</si>
  <si>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</si>
  <si>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</si>
  <si>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</si>
  <si>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</si>
  <si>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</si>
  <si>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</si>
  <si>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</si>
  <si>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</si>
  <si>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</si>
  <si>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</si>
  <si>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</si>
  <si>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</si>
  <si>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</si>
  <si>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</si>
  <si>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</si>
  <si>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</si>
  <si>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</si>
  <si>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</si>
  <si>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</si>
  <si>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</si>
  <si>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</si>
  <si>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</si>
  <si>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</si>
  <si>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</si>
  <si>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</si>
  <si>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</si>
  <si>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</si>
  <si>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</si>
  <si>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</si>
  <si>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</si>
  <si>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</si>
  <si>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</si>
  <si>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</si>
  <si>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</si>
  <si>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</si>
  <si>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</si>
  <si>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</si>
  <si>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</si>
  <si>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</si>
  <si>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</si>
  <si>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</si>
  <si>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</si>
  <si>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</si>
  <si>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</si>
  <si>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</si>
  <si>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</si>
  <si>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</si>
  <si>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</si>
  <si>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</si>
  <si>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</si>
  <si>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</si>
  <si>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</si>
  <si>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</si>
  <si>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</si>
  <si>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</si>
  <si>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</si>
  <si>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</si>
  <si>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</si>
  <si>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</si>
  <si>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</si>
  <si>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</si>
  <si>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</si>
  <si>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</si>
  <si>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</si>
  <si>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</si>
  <si>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</si>
  <si>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</si>
  <si>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</si>
  <si>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</si>
  <si>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</si>
  <si>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</si>
  <si>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</si>
  <si>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</si>
  <si>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</si>
  <si>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</si>
  <si>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</si>
  <si>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</si>
  <si>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</si>
  <si>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</si>
  <si>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</si>
  <si>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</si>
  <si>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</si>
  <si>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</si>
  <si>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</si>
  <si>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</si>
  <si>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</si>
  <si>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</si>
  <si>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</si>
  <si>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</si>
  <si>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</si>
  <si>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</si>
  <si>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</si>
  <si>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</si>
  <si>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</si>
  <si>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</si>
  <si>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</si>
  <si>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</si>
  <si>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</si>
  <si>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</si>
  <si>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</si>
  <si>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</si>
  <si>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</si>
  <si>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</si>
  <si>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</si>
  <si>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</si>
  <si>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</si>
  <si>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</si>
  <si>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</si>
  <si>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</si>
  <si>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</si>
  <si>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</si>
  <si>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</si>
  <si>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</si>
  <si>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</si>
  <si>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</si>
  <si>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</si>
  <si>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</si>
  <si>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</si>
  <si>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</si>
  <si>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</si>
  <si>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</si>
  <si>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</si>
  <si>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</si>
  <si>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</si>
  <si>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</si>
  <si>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</si>
  <si>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</si>
  <si>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</si>
  <si>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</si>
  <si>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</si>
  <si>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</si>
  <si>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</si>
  <si>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</si>
  <si>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</si>
  <si>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</si>
  <si>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</si>
  <si>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</si>
  <si>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</si>
  <si>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</si>
  <si>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</si>
  <si>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</si>
  <si>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</si>
  <si>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</si>
  <si>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</si>
  <si>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</si>
  <si>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</si>
  <si>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</si>
  <si>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</si>
  <si>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</si>
  <si>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</si>
  <si>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</si>
  <si>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</si>
  <si>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</si>
  <si>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</si>
  <si>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</si>
  <si>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</si>
  <si>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</si>
  <si>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</si>
  <si>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</si>
  <si>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</si>
  <si>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</si>
  <si>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</si>
  <si>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</si>
  <si>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</si>
  <si>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</si>
  <si>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</si>
  <si>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</si>
  <si>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</si>
  <si>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</si>
  <si>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</si>
  <si>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</si>
  <si>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</si>
  <si>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</si>
  <si>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</si>
  <si>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</si>
  <si>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</si>
  <si>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</si>
  <si>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</si>
  <si>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</si>
  <si>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</si>
  <si>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</si>
  <si>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</si>
  <si>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</si>
  <si>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</si>
  <si>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</si>
  <si>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</si>
  <si>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</si>
  <si>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</si>
  <si>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</si>
  <si>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</si>
  <si>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</si>
  <si>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</si>
  <si>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</si>
  <si>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</si>
  <si>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</si>
  <si>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</si>
  <si>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</si>
  <si>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</si>
  <si>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</si>
  <si>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</si>
  <si>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</si>
  <si>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</si>
  <si>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</si>
  <si>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</si>
  <si>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</si>
  <si>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</si>
  <si>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</si>
  <si>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</si>
  <si>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</si>
  <si>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</si>
  <si>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</si>
  <si>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</si>
  <si>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</si>
  <si>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</si>
  <si>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</si>
  <si>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</si>
  <si>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</si>
  <si>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</si>
  <si>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</si>
  <si>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</si>
  <si>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</si>
  <si>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</si>
  <si>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</si>
  <si>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</si>
  <si>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</si>
  <si>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</si>
  <si>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</si>
  <si>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</si>
  <si>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</si>
  <si>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</si>
  <si>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</si>
  <si>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</si>
  <si>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</si>
  <si>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</si>
  <si>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</si>
  <si>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</si>
  <si>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</si>
  <si>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</si>
  <si>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</si>
  <si>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</si>
  <si>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</si>
  <si>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</si>
  <si>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</si>
  <si>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</si>
  <si>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</si>
  <si>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</si>
  <si>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</si>
  <si>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</si>
  <si>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</si>
  <si>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</si>
  <si>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</si>
  <si>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</si>
  <si>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</si>
  <si>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</si>
  <si>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</si>
  <si>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</si>
  <si>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</si>
  <si>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</si>
  <si>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</si>
  <si>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</si>
  <si>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</si>
  <si>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</si>
  <si>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</si>
  <si>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</si>
  <si>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</si>
  <si>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</si>
  <si>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</si>
  <si>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</si>
  <si>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</si>
  <si>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</si>
  <si>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</si>
  <si>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</si>
  <si>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</si>
  <si>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</si>
  <si>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</si>
  <si>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</si>
  <si>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</si>
  <si>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</si>
  <si>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</si>
  <si>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</si>
  <si>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</si>
  <si>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</si>
  <si>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</si>
  <si>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</si>
  <si>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</si>
  <si>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</si>
  <si>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</si>
  <si>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</si>
  <si>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</si>
  <si>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</si>
  <si>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</si>
  <si>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</si>
  <si>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</si>
  <si>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</si>
  <si>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</si>
  <si>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</si>
  <si>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</si>
  <si>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</si>
  <si>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</si>
  <si>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</si>
  <si>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</si>
  <si>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</si>
  <si>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</si>
  <si>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</si>
  <si>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</si>
  <si>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</si>
  <si>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</si>
  <si>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</si>
  <si>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</si>
  <si>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</si>
  <si>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</si>
  <si>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</si>
  <si>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</si>
  <si>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</si>
  <si>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</si>
  <si>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</si>
  <si>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</si>
  <si>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</si>
  <si>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</si>
  <si>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</si>
  <si>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</si>
  <si>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</si>
  <si>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</si>
  <si>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</si>
  <si>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</si>
  <si>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</si>
  <si>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</si>
  <si>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</si>
  <si>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</si>
  <si>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</si>
  <si>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</si>
  <si>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</si>
  <si>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</si>
  <si>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</si>
  <si>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</si>
  <si>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</si>
  <si>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</si>
  <si>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</si>
  <si>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</si>
  <si>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</si>
  <si>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</si>
  <si>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</si>
  <si>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</si>
  <si>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</si>
  <si>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</si>
  <si>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</si>
  <si>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</si>
  <si>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</si>
  <si>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</si>
  <si>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</si>
  <si>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</si>
  <si>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</si>
  <si>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</si>
  <si>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</si>
  <si>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</si>
  <si>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</si>
  <si>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</si>
  <si>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</si>
  <si>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</si>
  <si>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</si>
  <si>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</si>
  <si>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</si>
  <si>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</si>
  <si>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</si>
  <si>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</si>
  <si>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</si>
  <si>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</si>
  <si>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</si>
  <si>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</si>
  <si>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</si>
  <si>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</si>
  <si>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</si>
  <si>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</si>
  <si>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</si>
  <si>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</si>
  <si>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</si>
  <si>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</si>
  <si>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</si>
  <si>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</si>
  <si>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</si>
  <si>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</si>
  <si>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</si>
  <si>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</si>
  <si>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</si>
  <si>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</si>
  <si>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</si>
  <si>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</si>
  <si>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</si>
  <si>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</si>
  <si>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</si>
  <si>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</si>
  <si>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</si>
  <si>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</si>
  <si>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</si>
  <si>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</si>
  <si>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</si>
  <si>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</si>
  <si>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</si>
  <si>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</si>
  <si>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</si>
  <si>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</si>
  <si>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</si>
  <si>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</si>
  <si>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</si>
  <si>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</si>
  <si>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</si>
  <si>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</si>
  <si>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</si>
  <si>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</si>
  <si>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</si>
  <si>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</si>
  <si>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</si>
  <si>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</si>
  <si>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</si>
  <si>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</si>
  <si>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</si>
  <si>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</si>
  <si>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</si>
  <si>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</si>
  <si>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</si>
  <si>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</si>
  <si>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</si>
  <si>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</si>
  <si>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</si>
  <si>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</si>
  <si>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</si>
  <si>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</si>
  <si>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</si>
  <si>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</si>
  <si>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</si>
  <si>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</si>
  <si>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</si>
  <si>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</si>
  <si>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</si>
  <si>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</si>
  <si>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</si>
  <si>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</si>
  <si>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</si>
  <si>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</si>
  <si>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</si>
  <si>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</si>
  <si>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</si>
  <si>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</si>
  <si>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</si>
  <si>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</si>
  <si>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</si>
  <si>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</si>
  <si>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</si>
  <si>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</si>
  <si>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</si>
  <si>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</si>
  <si>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</si>
  <si>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</si>
  <si>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</si>
  <si>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</si>
  <si>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</si>
  <si>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</si>
  <si>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</si>
  <si>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</si>
  <si>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</si>
  <si>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</si>
  <si>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</si>
  <si>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</si>
  <si>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</si>
  <si>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</si>
  <si>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</si>
  <si>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</si>
  <si>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</si>
  <si>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</si>
  <si>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</si>
  <si>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</si>
  <si>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</si>
  <si>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</si>
  <si>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</si>
  <si>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</si>
  <si>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</si>
  <si>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</si>
  <si>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</si>
  <si>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</si>
  <si>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</si>
  <si>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</si>
  <si>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</si>
  <si>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</si>
  <si>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</si>
  <si>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</si>
  <si>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</si>
  <si>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</si>
  <si>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</si>
  <si>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</si>
  <si>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</si>
  <si>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</si>
  <si>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</si>
  <si>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</si>
  <si>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</si>
  <si>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</si>
  <si>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</si>
  <si>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</si>
  <si>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</si>
  <si>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</si>
  <si>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</si>
  <si>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</si>
  <si>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</si>
  <si>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</si>
  <si>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</si>
  <si>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</si>
  <si>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</si>
  <si>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</si>
  <si>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</si>
  <si>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</si>
  <si>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</si>
  <si>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</si>
  <si>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</si>
  <si>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</si>
  <si>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</si>
  <si>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</si>
  <si>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</si>
  <si>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</si>
  <si>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</si>
  <si>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</si>
  <si>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</si>
  <si>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</si>
  <si>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</si>
  <si>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</si>
  <si>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</si>
  <si>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</si>
  <si>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</si>
  <si>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</si>
  <si>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</si>
  <si>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</si>
  <si>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</si>
  <si>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</si>
  <si>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</si>
  <si>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</si>
  <si>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</si>
  <si>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</si>
  <si>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</si>
  <si>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</si>
  <si>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</si>
  <si>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</si>
  <si>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</si>
  <si>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</si>
  <si>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</si>
  <si>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</si>
  <si>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</si>
  <si>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</si>
  <si>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</si>
  <si>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</si>
  <si>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</si>
  <si>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</si>
  <si>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</si>
  <si>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</si>
  <si>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</si>
  <si>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</si>
  <si>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</si>
  <si>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</si>
  <si>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</si>
  <si>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</si>
  <si>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</si>
  <si>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</si>
  <si>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</si>
  <si>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</si>
  <si>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</si>
  <si>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</si>
  <si>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</si>
  <si>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</si>
  <si>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</si>
  <si>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</si>
  <si>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</si>
  <si>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</si>
  <si>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</si>
  <si>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</si>
  <si>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</si>
  <si>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</si>
  <si>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</si>
  <si>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</si>
  <si>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</si>
  <si>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</si>
  <si>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</si>
  <si>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</si>
  <si>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</si>
  <si>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</si>
  <si>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</si>
  <si>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</si>
  <si>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</si>
  <si>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</si>
  <si>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</si>
  <si>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</si>
  <si>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</si>
  <si>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</si>
  <si>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</si>
  <si>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</si>
  <si>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</si>
  <si>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</si>
  <si>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</si>
  <si>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</si>
  <si>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</si>
  <si>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</si>
  <si>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</si>
  <si>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</si>
  <si>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</si>
  <si>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</si>
  <si>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</si>
  <si>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</si>
  <si>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</si>
  <si>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</si>
  <si>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</si>
  <si>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</si>
  <si>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</si>
  <si>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</si>
  <si>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</si>
  <si>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</si>
  <si>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</si>
  <si>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</si>
  <si>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</si>
  <si>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</si>
  <si>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</si>
  <si>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</si>
  <si>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</si>
  <si>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</si>
  <si>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</si>
  <si>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</si>
  <si>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</si>
  <si>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</si>
  <si>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</si>
  <si>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</si>
  <si>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</si>
  <si>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</si>
  <si>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</si>
  <si>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</si>
  <si>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</si>
  <si>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</si>
  <si>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</si>
  <si>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</si>
  <si>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</si>
  <si>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</si>
  <si>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</si>
  <si>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</si>
  <si>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</si>
  <si>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</si>
  <si>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</si>
  <si>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</si>
  <si>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</si>
  <si>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</si>
  <si>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</si>
  <si>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</si>
  <si>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</si>
  <si>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</si>
  <si>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</si>
  <si>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</si>
  <si>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</si>
  <si>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</si>
  <si>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</si>
  <si>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</si>
  <si>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</si>
  <si>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</si>
  <si>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</si>
  <si>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</si>
  <si>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</si>
  <si>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</si>
  <si>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</si>
  <si>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</si>
  <si>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</si>
  <si>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</si>
  <si>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</si>
  <si>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</si>
  <si>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</si>
  <si>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</si>
  <si>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</si>
  <si>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</si>
  <si>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</si>
  <si>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</si>
  <si>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</si>
  <si>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</si>
  <si>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</si>
  <si>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</si>
  <si>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</si>
  <si>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</si>
  <si>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</si>
  <si>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</si>
  <si>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</si>
  <si>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</si>
  <si>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</si>
  <si>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</si>
  <si>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</si>
  <si>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</si>
  <si>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</si>
  <si>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</si>
  <si>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</si>
  <si>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</si>
  <si>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</si>
  <si>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</si>
  <si>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</si>
  <si>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</si>
  <si>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</si>
  <si>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</si>
  <si>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</si>
  <si>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</si>
  <si>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</si>
  <si>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</si>
  <si>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</si>
  <si>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</si>
  <si>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</si>
  <si>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</si>
  <si>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</si>
  <si>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</si>
  <si>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</si>
  <si>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</si>
  <si>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</si>
  <si>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</si>
  <si>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</si>
  <si>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</si>
  <si>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</si>
  <si>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</si>
  <si>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</si>
  <si>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</si>
  <si>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</si>
  <si>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</si>
  <si>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</si>
  <si>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</si>
  <si>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</si>
  <si>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</si>
  <si>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</si>
  <si>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</si>
  <si>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</si>
  <si>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</si>
  <si>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</si>
  <si>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</si>
  <si>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</si>
  <si>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</si>
  <si>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</si>
  <si>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</si>
  <si>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</si>
  <si>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</si>
  <si>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</si>
  <si>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</si>
  <si>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</si>
  <si>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</si>
  <si>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</si>
  <si>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</si>
  <si>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</si>
  <si>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</si>
  <si>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</si>
  <si>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</si>
  <si>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</si>
  <si>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</si>
  <si>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</si>
  <si>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</si>
  <si>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</si>
  <si>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</si>
  <si>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</si>
  <si>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</si>
  <si>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</si>
  <si>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</si>
  <si>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</si>
  <si>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</si>
  <si>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</si>
  <si>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</si>
  <si>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</si>
  <si>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</si>
  <si>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</si>
  <si>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</si>
  <si>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</si>
  <si>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</si>
  <si>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</si>
  <si>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</si>
  <si>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</si>
  <si>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</si>
  <si>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</si>
  <si>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</si>
  <si>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</si>
  <si>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</si>
  <si>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</si>
  <si>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</si>
  <si>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</si>
  <si>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</si>
  <si>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</si>
  <si>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</si>
  <si>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</si>
  <si>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</si>
  <si>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</si>
  <si>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</si>
  <si>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</si>
  <si>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</si>
  <si>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</si>
  <si>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</si>
  <si>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</si>
  <si>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</si>
  <si>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</si>
  <si>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</si>
  <si>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</si>
  <si>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</si>
  <si>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</si>
  <si>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</si>
  <si>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</si>
  <si>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</si>
  <si>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</si>
  <si>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</si>
  <si>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</si>
  <si>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</si>
  <si>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</si>
  <si>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</si>
  <si>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</si>
  <si>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</si>
  <si>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</si>
  <si>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</si>
  <si>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</si>
  <si>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</si>
  <si>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</si>
  <si>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</si>
  <si>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</si>
  <si>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</si>
  <si>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</si>
  <si>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</si>
  <si>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</si>
  <si>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</si>
  <si>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</si>
  <si>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</si>
  <si>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</si>
  <si>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</si>
  <si>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</si>
  <si>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</si>
  <si>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</si>
  <si>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</si>
  <si>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</si>
  <si>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</si>
  <si>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</si>
  <si>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</si>
  <si>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</si>
  <si>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</si>
  <si>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</si>
  <si>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</si>
  <si>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</si>
  <si>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</si>
  <si>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</si>
  <si>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</si>
  <si>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</si>
  <si>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</si>
  <si>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</si>
  <si>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</si>
  <si>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</si>
  <si>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</si>
  <si>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</si>
  <si>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</si>
  <si>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</si>
  <si>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</si>
  <si>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</si>
  <si>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</si>
  <si>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</si>
  <si>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</si>
  <si>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</si>
  <si>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</si>
  <si>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</si>
  <si>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</si>
  <si>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</si>
  <si>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</si>
  <si>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</si>
  <si>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</si>
  <si>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</si>
  <si>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</si>
  <si>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</si>
  <si>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</si>
  <si>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</si>
  <si>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</si>
  <si>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</si>
  <si>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</si>
  <si>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</si>
  <si>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</si>
  <si>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</si>
  <si>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</si>
  <si>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</si>
  <si>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</si>
  <si>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</si>
  <si>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</si>
  <si>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</si>
  <si>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</si>
  <si>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</si>
  <si>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</si>
  <si>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</si>
  <si>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</si>
  <si>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</si>
  <si>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</si>
  <si>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</si>
  <si>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</si>
  <si>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</si>
  <si>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</si>
  <si>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</si>
  <si>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</si>
  <si>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</si>
  <si>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</si>
  <si>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</si>
  <si>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</si>
  <si>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</si>
  <si>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</si>
  <si>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</si>
  <si>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</si>
  <si>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</si>
  <si>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</si>
  <si>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</si>
  <si>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</si>
  <si>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</si>
  <si>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</si>
  <si>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</si>
  <si>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</si>
  <si>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</si>
  <si>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</si>
  <si>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</si>
  <si>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</si>
  <si>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</si>
  <si>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</si>
  <si>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</si>
  <si>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</si>
  <si>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</si>
  <si>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</si>
  <si>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</si>
  <si>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</si>
  <si>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</si>
  <si>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</si>
  <si>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</si>
  <si>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</si>
  <si>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</si>
  <si>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</si>
  <si>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</si>
  <si>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</si>
  <si>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</si>
  <si>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</si>
  <si>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</si>
  <si>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</si>
  <si>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</si>
  <si>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</si>
  <si>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</si>
  <si>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</si>
  <si>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</si>
  <si>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</si>
  <si>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</si>
  <si>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</si>
  <si>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</si>
  <si>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</si>
  <si>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</si>
  <si>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</si>
  <si>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</si>
  <si>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</si>
  <si>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</si>
  <si>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</si>
  <si>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</si>
  <si>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</si>
  <si>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</si>
  <si>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</si>
  <si>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</si>
  <si>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</si>
  <si>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</si>
  <si>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</si>
  <si>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</si>
  <si>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</si>
  <si>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</si>
  <si>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</si>
  <si>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</si>
  <si>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</si>
  <si>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</si>
  <si>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</si>
  <si>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</si>
  <si>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</si>
  <si>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</si>
  <si>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</si>
  <si>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</si>
  <si>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</si>
  <si>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</si>
  <si>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</si>
  <si>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</si>
  <si>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</si>
  <si>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</si>
  <si>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</si>
  <si>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</si>
  <si>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</si>
  <si>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</si>
  <si>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</si>
  <si>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</si>
  <si>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</si>
  <si>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</si>
  <si>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</si>
  <si>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</si>
  <si>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</si>
  <si>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</si>
  <si>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</si>
  <si>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</si>
  <si>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</si>
  <si>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</si>
  <si>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</si>
  <si>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</si>
  <si>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</si>
  <si>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</si>
  <si>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</si>
  <si>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</si>
  <si>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</si>
  <si>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</si>
  <si>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</si>
  <si>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</si>
  <si>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</si>
  <si>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</si>
  <si>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</si>
  <si>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</si>
  <si>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</si>
  <si>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</si>
  <si>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</si>
  <si>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</si>
  <si>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</si>
  <si>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</si>
  <si>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</si>
  <si>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</si>
  <si>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</si>
  <si>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</si>
  <si>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</si>
  <si>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</si>
  <si>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</si>
  <si>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</si>
  <si>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</si>
  <si>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</si>
  <si>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</si>
  <si>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</si>
  <si>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</si>
  <si>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</si>
  <si>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</si>
  <si>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</si>
  <si>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</si>
  <si>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</si>
  <si>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</si>
  <si>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</si>
  <si>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</si>
  <si>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</si>
  <si>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</si>
  <si>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</si>
  <si>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</si>
  <si>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</si>
  <si>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</si>
  <si>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</si>
  <si>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</si>
  <si>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</si>
  <si>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</si>
  <si>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</si>
  <si>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</si>
  <si>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</si>
  <si>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</si>
  <si>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</si>
  <si>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</si>
  <si>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</si>
  <si>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</si>
  <si>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</si>
  <si>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</si>
  <si>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</si>
  <si>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</si>
  <si>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</si>
  <si>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</si>
  <si>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</si>
  <si>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</si>
  <si>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</si>
  <si>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</si>
  <si>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</si>
  <si>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</si>
  <si>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</si>
  <si>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</si>
  <si>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</si>
  <si>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</si>
  <si>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</si>
  <si>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</si>
  <si>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</si>
  <si>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</si>
  <si>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</si>
  <si>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</si>
  <si>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</si>
  <si>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</si>
  <si>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</si>
  <si>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</si>
  <si>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</si>
  <si>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</si>
  <si>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</si>
  <si>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</si>
  <si>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</si>
  <si>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</si>
  <si>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</si>
  <si>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</si>
  <si>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</si>
  <si>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</si>
  <si>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</si>
  <si>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</si>
  <si>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</si>
  <si>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</si>
  <si>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</si>
  <si>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</si>
  <si>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</si>
  <si>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</si>
  <si>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</si>
  <si>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</si>
  <si>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</si>
  <si>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</si>
  <si>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</si>
  <si>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</si>
  <si>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</si>
  <si>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</si>
  <si>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</si>
  <si>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</si>
  <si>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</si>
  <si>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</si>
  <si>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</si>
  <si>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</si>
  <si>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</si>
  <si>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</si>
  <si>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</si>
  <si>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</si>
  <si>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</si>
  <si>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</si>
  <si>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</si>
  <si>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</si>
  <si>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</si>
  <si>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</si>
  <si>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</si>
  <si>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</si>
  <si>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</si>
  <si>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</si>
  <si>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</si>
  <si>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</si>
  <si>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</si>
  <si>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</si>
  <si>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</si>
  <si>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</si>
  <si>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</si>
  <si>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</si>
  <si>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</si>
  <si>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</si>
  <si>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</si>
  <si>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</si>
  <si>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</si>
  <si>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</si>
  <si>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</si>
  <si>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</si>
  <si>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</si>
  <si>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</si>
  <si>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</si>
  <si>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</si>
  <si>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</si>
  <si>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</si>
  <si>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</si>
  <si>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</si>
  <si>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</si>
  <si>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</si>
  <si>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</si>
  <si>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</si>
  <si>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</si>
  <si>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</si>
  <si>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</si>
  <si>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</si>
  <si>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</si>
  <si>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</si>
  <si>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</si>
  <si>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</si>
  <si>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</si>
  <si>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</si>
  <si>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</si>
  <si>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</si>
  <si>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</si>
  <si>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</si>
  <si>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</si>
  <si>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</si>
  <si>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</si>
  <si>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</si>
  <si>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</si>
  <si>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</si>
  <si>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</si>
  <si>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</si>
  <si>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</si>
  <si>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</si>
  <si>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</si>
  <si>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</si>
  <si>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</si>
  <si>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</si>
  <si>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</si>
  <si>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</si>
  <si>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</si>
  <si>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</si>
  <si>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</si>
  <si>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</si>
  <si>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</si>
  <si>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</si>
  <si>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</si>
  <si>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</si>
  <si>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</si>
  <si>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</si>
  <si>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</si>
  <si>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</si>
  <si>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</si>
  <si>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</si>
  <si>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</si>
  <si>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</si>
  <si>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</si>
  <si>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</si>
  <si>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</si>
  <si>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</si>
  <si>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</si>
  <si>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</si>
  <si>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</si>
  <si>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</si>
  <si>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</si>
  <si>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</si>
  <si>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</si>
  <si>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</si>
  <si>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</si>
  <si>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</si>
  <si>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</si>
  <si>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</si>
  <si>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</si>
  <si>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</si>
  <si>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</si>
  <si>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</si>
  <si>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</si>
  <si>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</si>
  <si>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</si>
  <si>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</si>
  <si>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</si>
  <si>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</si>
  <si>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</si>
  <si>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</si>
  <si>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</si>
  <si>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</si>
  <si>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</si>
  <si>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</si>
  <si>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</si>
  <si>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</si>
  <si>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</si>
  <si>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</si>
  <si>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</si>
  <si>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</si>
  <si>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</si>
  <si>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</si>
  <si>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</si>
  <si>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</si>
  <si>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</si>
  <si>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</si>
  <si>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</si>
  <si>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</si>
  <si>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</si>
  <si>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</si>
  <si>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</si>
  <si>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</si>
  <si>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</si>
  <si>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</si>
  <si>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</si>
  <si>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</si>
  <si>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</si>
  <si>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</si>
  <si>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</si>
  <si>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</si>
  <si>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</si>
  <si>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</si>
  <si>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</si>
  <si>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</si>
  <si>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</si>
  <si>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</si>
  <si>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</si>
  <si>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</si>
  <si>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</si>
  <si>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</si>
  <si>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</si>
  <si>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</si>
  <si>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</si>
  <si>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</si>
  <si>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</si>
  <si>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</si>
  <si>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</si>
  <si>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</si>
  <si>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</si>
  <si>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</si>
  <si>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</si>
  <si>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</si>
  <si>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</si>
  <si>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</si>
  <si>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</si>
  <si>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</si>
  <si>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</si>
  <si>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</si>
  <si>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</si>
  <si>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</si>
  <si>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</si>
  <si>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</si>
  <si>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</si>
  <si>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</si>
  <si>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</si>
  <si>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</si>
  <si>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</si>
  <si>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</si>
  <si>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</si>
  <si>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</si>
  <si>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</si>
  <si>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</si>
  <si>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</si>
  <si>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</si>
  <si>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</si>
  <si>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</si>
  <si>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</si>
  <si>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</si>
  <si>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</si>
  <si>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</si>
  <si>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</si>
  <si>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</si>
  <si>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</si>
  <si>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</si>
  <si>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</si>
  <si>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</si>
  <si>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</si>
  <si>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</si>
  <si>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</si>
  <si>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</si>
  <si>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</si>
  <si>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</si>
  <si>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</si>
  <si>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</si>
  <si>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</si>
  <si>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</si>
  <si>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</si>
  <si>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</si>
  <si>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</si>
  <si>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</si>
  <si>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</si>
  <si>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</si>
  <si>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</si>
  <si>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</si>
  <si>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</si>
  <si>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</si>
  <si>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</si>
  <si>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</si>
  <si>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</si>
  <si>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</si>
  <si>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</si>
  <si>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</si>
  <si>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</si>
  <si>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</si>
  <si>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</si>
  <si>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</si>
  <si>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</si>
  <si>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</si>
  <si>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</si>
  <si>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</si>
  <si>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</si>
  <si>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</si>
  <si>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</si>
  <si>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</si>
  <si>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</si>
  <si>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</si>
  <si>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</si>
  <si>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</si>
  <si>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</si>
  <si>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</si>
  <si>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</si>
  <si>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</si>
  <si>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</si>
  <si>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</si>
  <si>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</si>
  <si>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</si>
  <si>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</si>
  <si>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</si>
  <si>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</si>
  <si>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</si>
  <si>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</si>
  <si>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</si>
  <si>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</si>
  <si>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</si>
  <si>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</si>
  <si>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</si>
  <si>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</si>
  <si>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</si>
  <si>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</si>
  <si>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</si>
  <si>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</si>
  <si>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</si>
  <si>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</si>
  <si>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</si>
  <si>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</si>
  <si>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</si>
  <si>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</si>
  <si>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</si>
  <si>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</si>
  <si>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</si>
  <si>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</si>
  <si>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</si>
  <si>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</si>
  <si>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</si>
  <si>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</si>
  <si>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</si>
  <si>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</si>
  <si>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Johnson, Alexander, Massac &amp; Pulaski</t>
  </si>
  <si>
    <t>PO Box 107</t>
  </si>
  <si>
    <t>Grand Chain</t>
  </si>
  <si>
    <t>jampbkpr@yahoo.com</t>
  </si>
  <si>
    <t>Beussink, Hey, Roe &amp; Stroder, LLC</t>
  </si>
  <si>
    <t>Jeffrey C. Stroder, CPA</t>
  </si>
  <si>
    <t>16 S. Silver Springs Road</t>
  </si>
  <si>
    <t>Cape Girardeau</t>
  </si>
  <si>
    <t>MO</t>
  </si>
  <si>
    <t>573-334-7971</t>
  </si>
  <si>
    <t>573-334-8875</t>
  </si>
  <si>
    <t>066-003889</t>
  </si>
  <si>
    <t>jstroder@bhrcpas.com</t>
  </si>
  <si>
    <t>The financial statements are presented in a format that complies with regulatory provisions prescribed by the Illinois State Boad of Education, whose practices differ from accounting principles generally accepted in the United States of America. In addiiton, the notes to the financial statements do not include the note disclosure required by GASB Statement No. 75 for one of the School's two deferred contribution OPEB plans.</t>
  </si>
  <si>
    <t>Account number</t>
  </si>
  <si>
    <t>Object Code</t>
  </si>
  <si>
    <t>Miscellaneous Receipts</t>
  </si>
  <si>
    <t>IL Dept. of Healthcare &amp; Family Services</t>
  </si>
  <si>
    <t xml:space="preserve">   Administrative Contract</t>
  </si>
  <si>
    <t>Fee for Service Transfer to Districts</t>
  </si>
  <si>
    <t>Medicaid Admin Outreach Transferred to Districts</t>
  </si>
  <si>
    <t>Illinois Lunch Transferred to Centruy School</t>
  </si>
  <si>
    <t>National School Breakfast Transferred to Century School</t>
  </si>
  <si>
    <t>National School Lunch Transferred to Century School</t>
  </si>
  <si>
    <t>U.S. Department of Agriculture</t>
  </si>
  <si>
    <t>Passed Through Illinois State Board of Education</t>
  </si>
  <si>
    <t xml:space="preserve">  School Breakfast Program</t>
  </si>
  <si>
    <t xml:space="preserve">    Total for CFDA #10.553</t>
  </si>
  <si>
    <t xml:space="preserve">  National School Lunch Program</t>
  </si>
  <si>
    <t xml:space="preserve">    Total for CFDA #10.555</t>
  </si>
  <si>
    <t>Total Child Nutrition Cluster (CFDA Numbers 10.553 and 10.555)</t>
  </si>
  <si>
    <t>TOTAL U.S. DEPARTMENT OF AGRICULTURE</t>
  </si>
  <si>
    <t>U.S. Department of Education</t>
  </si>
  <si>
    <t xml:space="preserve">  Special Education - IDEA (M)</t>
  </si>
  <si>
    <t xml:space="preserve">    Total for CFDA #84.027</t>
  </si>
  <si>
    <t xml:space="preserve">  Special Education - Preschool Grants (M)</t>
  </si>
  <si>
    <t xml:space="preserve">    Total for CFDA #84.173</t>
  </si>
  <si>
    <t>Total Special Education Cluster (CFDA Numbers 84.027 and 84.173)</t>
  </si>
  <si>
    <t>TOTAL U.S. DEPARTMENT OF EDUCATION</t>
  </si>
  <si>
    <t>U.S. Department of Health &amp; Human Services</t>
  </si>
  <si>
    <t>Passed Through Illinois Department of Healthcare &amp; Family Services</t>
  </si>
  <si>
    <t xml:space="preserve">  Medical Assistance Program</t>
  </si>
  <si>
    <t>Passed Through to Member Districts (see AFR page 41)</t>
  </si>
  <si>
    <t xml:space="preserve">    Total for CFDA #93.778</t>
  </si>
  <si>
    <t>TOTAL U.S. DEPARTMENT OF HEALTH &amp; HUMAN SERVICES</t>
  </si>
  <si>
    <t>TOTAL FEDERAL AWARDS</t>
  </si>
  <si>
    <t>18-4220</t>
  </si>
  <si>
    <t>19-4220</t>
  </si>
  <si>
    <t>18-4210</t>
  </si>
  <si>
    <t>19-4210</t>
  </si>
  <si>
    <t>18-4620</t>
  </si>
  <si>
    <t>19-4620</t>
  </si>
  <si>
    <t>18-4600</t>
  </si>
  <si>
    <t>19-4600</t>
  </si>
  <si>
    <t>18-4991</t>
  </si>
  <si>
    <t>19-4991</t>
  </si>
  <si>
    <t>Special Education - IDEA/Vienna High School District. No. 13-3</t>
  </si>
  <si>
    <t>Special Education - IDEA/Century CUSD No. 100</t>
  </si>
  <si>
    <t>Special Education - IDEA/Vienna Elementary School District No. 55</t>
  </si>
  <si>
    <t>Special Education - IDEA/Joppa-Maple Grove USD No. 38</t>
  </si>
  <si>
    <t>School Breafast Program/Century CUSD No. 100</t>
  </si>
  <si>
    <t>National School Lunch Program/Century CUSD No. 100</t>
  </si>
  <si>
    <t>Medical Assistance Program/Buncombe Elementary Sch. Dist. No. 43</t>
  </si>
  <si>
    <t>Medical Assistance Program/Century CUSD No. 100</t>
  </si>
  <si>
    <t>Medical Assistance Program/Cyptress Elementary Sch. Dist. No. 64</t>
  </si>
  <si>
    <t>Medical Assistance Program/Egyptian CUSD No. 5</t>
  </si>
  <si>
    <t>Medical Assistance Program/Goreville USD No. 1</t>
  </si>
  <si>
    <t>Medical Assistance Program/Joppa-Maple Grove USD No. 38</t>
  </si>
  <si>
    <t>Medical Assistance Program/Meridian CUSD No. 101</t>
  </si>
  <si>
    <t>Medical Assistance Program/New Simpson Hill Dist. No. 32</t>
  </si>
  <si>
    <t>Medical Assistance Program/ Vienna Elementary School Dist. No. 55</t>
  </si>
  <si>
    <t>Medical Assistance Program/Vienna High School Dist. No. 13-3</t>
  </si>
  <si>
    <t>Unmodified</t>
  </si>
  <si>
    <t>84.027 and 84.173</t>
  </si>
  <si>
    <t>Special Education Cluster (IDEA)</t>
  </si>
  <si>
    <r>
      <t xml:space="preserve">The accompanying Schedule of Expenditures of Federal Awards includes the federal grant activity of </t>
    </r>
    <r>
      <rPr>
        <b/>
        <sz val="9"/>
        <rFont val="Calibri"/>
        <family val="2"/>
        <scheme val="minor"/>
      </rPr>
      <t>JAMP Special Education Services</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</si>
  <si>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JAMP Special Education Services</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</si>
  <si>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Special Education - IDEA/Goreville USD No. 1</t>
  </si>
  <si>
    <r>
      <t xml:space="preserve">Of the federal expenditures presented in the schedule, </t>
    </r>
    <r>
      <rPr>
        <b/>
        <sz val="9"/>
        <rFont val="Calibri"/>
        <family val="2"/>
        <scheme val="minor"/>
      </rPr>
      <t>JAMP Special Education Services</t>
    </r>
    <r>
      <rPr>
        <sz val="9"/>
        <rFont val="Calibri"/>
        <family val="2"/>
        <scheme val="minor"/>
      </rPr>
      <t xml:space="preserve"> provided federal awards to subrecipients as follows:</t>
    </r>
  </si>
  <si>
    <t>NONE</t>
  </si>
  <si>
    <t xml:space="preserve">JAMP Spec Educ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</si>
</sst>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double"/>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xf>
    <xf numFmtId="0" fontId="61" fillId="0" borderId="0" xfId="3" applyFont="1" applyBorder="1" applyAlignment="1" applyProtection="1">
      <alignment horizontal="left" vertical="top" wrapText="1"/>
    </xf>
    <xf numFmtId="0" fontId="56" fillId="0" borderId="78" xfId="0" applyFont="1" applyBorder="1" applyAlignment="1">
      <alignment horizontal="center"/>
    </xf>
    <xf numFmtId="0" fontId="56" fillId="0" borderId="0" xfId="0" applyFont="1" applyAlignment="1">
      <alignment horizontal="center"/>
    </xf>
    <xf numFmtId="181" fontId="138" fillId="0" borderId="0" xfId="19" applyNumberFormat="1" applyFont="1"/>
    <xf numFmtId="181" fontId="56" fillId="0" borderId="0" xfId="0" applyNumberFormat="1" applyFont="1"/>
    <xf numFmtId="181" fontId="139" fillId="0" borderId="0" xfId="19" applyNumberFormat="1" applyFont="1"/>
    <xf numFmtId="181" fontId="56" fillId="0" borderId="0" xfId="19" applyNumberFormat="1" applyFont="1"/>
    <xf numFmtId="182" fontId="56" fillId="0" borderId="0" xfId="1" applyNumberFormat="1" applyFont="1"/>
    <xf numFmtId="182" fontId="140" fillId="0" borderId="0" xfId="1" applyNumberFormat="1" applyFont="1"/>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149" xfId="3" applyNumberFormat="1" applyFont="1" applyBorder="1" applyAlignment="1" applyProtection="1">
      <alignment horizontal="right" indent="1"/>
      <protection locked="0"/>
    </xf>
    <xf numFmtId="3" fontId="54" fillId="0" borderId="76" xfId="3" applyNumberFormat="1" applyFont="1" applyBorder="1" applyAlignment="1" applyProtection="1">
      <alignment horizontal="right" indent="1"/>
      <protection locked="0"/>
    </xf>
    <xf numFmtId="3" fontId="54" fillId="0" borderId="150" xfId="3" applyNumberFormat="1" applyFont="1" applyBorder="1" applyAlignment="1" applyProtection="1">
      <alignment horizontal="right" indent="1"/>
      <protection locked="0"/>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885825</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B48"/>
  <sheetViews>
    <sheetView showGridLines="0" tabSelected="1" zoomScaleNormal="100" workbookViewId="0">
      <selection activeCell="AE25" sqref="AE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3" t="s">
        <v>405</v>
      </c>
      <c r="J1" s="2024"/>
      <c r="K1" s="2024"/>
      <c r="L1" s="2024"/>
      <c r="M1" s="2024"/>
      <c r="N1" s="2024"/>
      <c r="O1" s="2024"/>
      <c r="P1" s="2024"/>
      <c r="Q1" s="2024"/>
      <c r="R1" s="2024"/>
      <c r="S1" s="2024"/>
    </row>
    <row r="2" spans="1:28" ht="12" customHeight="1" x14ac:dyDescent="0.2">
      <c r="A2" s="47" t="s">
        <v>1991</v>
      </c>
      <c r="D2" s="48"/>
      <c r="I2" s="2025" t="s">
        <v>979</v>
      </c>
      <c r="J2" s="2024"/>
      <c r="K2" s="2024"/>
      <c r="L2" s="2024"/>
      <c r="M2" s="2024"/>
      <c r="N2" s="2024"/>
      <c r="O2" s="2024"/>
      <c r="P2" s="2024"/>
      <c r="Q2" s="2024"/>
      <c r="R2" s="2024"/>
      <c r="S2" s="2024"/>
    </row>
    <row r="3" spans="1:28" ht="12" customHeight="1" x14ac:dyDescent="0.2">
      <c r="A3" s="155" t="s">
        <v>1943</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c r="C5" s="26" t="s">
        <v>910</v>
      </c>
      <c r="D5" s="84"/>
      <c r="E5" s="84"/>
      <c r="H5" s="38"/>
      <c r="I5" s="2032" t="s">
        <v>680</v>
      </c>
      <c r="J5" s="1977"/>
      <c r="K5" s="1977"/>
      <c r="L5" s="1977"/>
      <c r="M5" s="1977"/>
      <c r="N5" s="1977"/>
      <c r="O5" s="1977"/>
      <c r="P5" s="1977"/>
      <c r="Q5" s="1977"/>
      <c r="R5" s="1977"/>
      <c r="S5" s="1977"/>
    </row>
    <row r="6" spans="1:28" ht="14.1" customHeight="1" x14ac:dyDescent="0.2">
      <c r="B6" s="104"/>
      <c r="C6" s="26" t="s">
        <v>911</v>
      </c>
      <c r="D6" s="84"/>
      <c r="E6" s="84"/>
      <c r="I6" s="2031" t="s">
        <v>883</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3" t="s">
        <v>533</v>
      </c>
      <c r="U9" s="1974"/>
      <c r="V9" s="1974"/>
      <c r="W9" s="1974"/>
      <c r="X9" s="1974"/>
      <c r="Y9" s="1974"/>
      <c r="Z9" s="1974"/>
      <c r="AA9" s="1975"/>
    </row>
    <row r="10" spans="1:28" ht="13.5" customHeight="1" x14ac:dyDescent="0.2">
      <c r="A10" s="1982" t="s">
        <v>675</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955</v>
      </c>
      <c r="B11" s="1986"/>
      <c r="C11" s="1986"/>
      <c r="D11" s="1986"/>
      <c r="E11" s="1986"/>
      <c r="F11" s="1986"/>
      <c r="G11" s="1986"/>
      <c r="H11" s="1987"/>
      <c r="I11" s="27"/>
      <c r="J11" s="74"/>
      <c r="K11" s="27"/>
      <c r="O11" s="148" t="s">
        <v>2062</v>
      </c>
      <c r="P11" s="100" t="s">
        <v>201</v>
      </c>
      <c r="Q11" s="30"/>
      <c r="R11" s="28"/>
      <c r="S11" s="27"/>
      <c r="T11" s="1979"/>
      <c r="U11" s="1980"/>
      <c r="V11" s="1980"/>
      <c r="W11" s="1980"/>
      <c r="X11" s="1980"/>
      <c r="Y11" s="1980"/>
      <c r="Z11" s="1980"/>
      <c r="AA11" s="19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3">
        <v>30077801060</v>
      </c>
      <c r="B13" s="1994"/>
      <c r="C13" s="1994"/>
      <c r="D13" s="1994"/>
      <c r="E13" s="1994"/>
      <c r="F13" s="1994"/>
      <c r="G13" s="1994"/>
      <c r="H13" s="1995"/>
      <c r="I13" s="31"/>
      <c r="J13" s="30"/>
      <c r="K13" s="28"/>
      <c r="L13" s="30"/>
      <c r="M13" s="30"/>
      <c r="N13" s="30"/>
      <c r="O13" s="30"/>
      <c r="P13" s="30"/>
      <c r="Q13" s="30"/>
      <c r="R13" s="30"/>
      <c r="S13" s="30"/>
      <c r="T13" s="1998" t="s">
        <v>2067</v>
      </c>
      <c r="U13" s="1999"/>
      <c r="V13" s="1999"/>
      <c r="W13" s="1999"/>
      <c r="X13" s="1999"/>
      <c r="Y13" s="2000"/>
      <c r="Z13" s="2000"/>
      <c r="AA13" s="20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1" t="s">
        <v>2063</v>
      </c>
      <c r="B15" s="1996"/>
      <c r="C15" s="1996"/>
      <c r="D15" s="1996"/>
      <c r="E15" s="1996"/>
      <c r="F15" s="1996"/>
      <c r="G15" s="1996"/>
      <c r="H15" s="1997"/>
      <c r="T15" s="1959" t="s">
        <v>2068</v>
      </c>
      <c r="U15" s="1960"/>
      <c r="V15" s="1960"/>
      <c r="W15" s="1960"/>
      <c r="X15" s="1960"/>
      <c r="Y15" s="2002"/>
      <c r="Z15" s="2002"/>
      <c r="AA15" s="20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1" t="s">
        <v>2143</v>
      </c>
      <c r="B17" s="2021"/>
      <c r="C17" s="2021"/>
      <c r="D17" s="2021"/>
      <c r="E17" s="2021"/>
      <c r="F17" s="2021"/>
      <c r="G17" s="2021"/>
      <c r="H17" s="2022"/>
      <c r="T17" s="2008" t="s">
        <v>2069</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1" t="s">
        <v>2064</v>
      </c>
      <c r="B19" s="1992"/>
      <c r="C19" s="1992"/>
      <c r="D19" s="1992"/>
      <c r="E19" s="1992"/>
      <c r="F19" s="1992"/>
      <c r="G19" s="1992"/>
      <c r="H19" s="1990"/>
      <c r="I19" s="30"/>
      <c r="J19" s="99"/>
      <c r="K19" s="40"/>
      <c r="L19" s="38"/>
      <c r="M19" s="112" t="s">
        <v>315</v>
      </c>
      <c r="P19" s="27"/>
      <c r="Q19" s="27"/>
      <c r="R19" s="27"/>
      <c r="S19" s="31"/>
      <c r="T19" s="1991" t="s">
        <v>2070</v>
      </c>
      <c r="U19" s="1989"/>
      <c r="V19" s="1989"/>
      <c r="W19" s="1990"/>
      <c r="X19" s="2006" t="s">
        <v>2071</v>
      </c>
      <c r="Y19" s="2007"/>
      <c r="Z19" s="2004">
        <v>63703</v>
      </c>
      <c r="AA19" s="20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8" t="s">
        <v>2065</v>
      </c>
      <c r="B21" s="1989"/>
      <c r="C21" s="1989"/>
      <c r="D21" s="1989"/>
      <c r="E21" s="1989"/>
      <c r="F21" s="1989"/>
      <c r="G21" s="1989"/>
      <c r="H21" s="1990"/>
      <c r="I21" s="2014" t="s">
        <v>678</v>
      </c>
      <c r="J21" s="1977"/>
      <c r="K21" s="1977"/>
      <c r="L21" s="1977"/>
      <c r="M21" s="1977"/>
      <c r="N21" s="1977"/>
      <c r="O21" s="1977"/>
      <c r="P21" s="1977"/>
      <c r="Q21" s="1977"/>
      <c r="R21" s="1977"/>
      <c r="S21" s="1978"/>
      <c r="T21" s="1956" t="s">
        <v>2072</v>
      </c>
      <c r="U21" s="1957"/>
      <c r="V21" s="1957"/>
      <c r="W21" s="1957"/>
      <c r="X21" s="1970" t="s">
        <v>2073</v>
      </c>
      <c r="Y21" s="1971"/>
      <c r="Z21" s="1971"/>
      <c r="AA21" s="1972"/>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t="s">
        <v>2066</v>
      </c>
      <c r="B23" s="2012"/>
      <c r="C23" s="2012"/>
      <c r="D23" s="2012"/>
      <c r="E23" s="2012"/>
      <c r="F23" s="2012"/>
      <c r="G23" s="2012"/>
      <c r="H23" s="2013"/>
      <c r="T23" s="1951" t="s">
        <v>2074</v>
      </c>
      <c r="U23" s="1952"/>
      <c r="V23" s="1952"/>
      <c r="W23" s="1952"/>
      <c r="X23" s="1967">
        <v>44530</v>
      </c>
      <c r="Y23" s="1968"/>
      <c r="Z23" s="1968"/>
      <c r="AA23" s="1969"/>
    </row>
    <row r="24" spans="1:27" ht="14.1" customHeight="1" x14ac:dyDescent="0.2">
      <c r="A24" s="88" t="s">
        <v>677</v>
      </c>
      <c r="B24" s="49"/>
      <c r="C24" s="49"/>
      <c r="D24" s="49"/>
      <c r="E24" s="49"/>
      <c r="F24" s="49"/>
      <c r="G24" s="49"/>
      <c r="H24" s="61"/>
      <c r="J24" s="2053" t="str">
        <f>IF(B5="x",IF(AUDITCHECK!D29="AFR form Incomplete.","",IF(AUDITCHECK!D29="Deficit reduction plan is required.","School District must complete a deficit reduction plan in the 2019-2020 Budget",)),"")</f>
        <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8">
        <v>62970</v>
      </c>
      <c r="B25" s="1989"/>
      <c r="C25" s="1989"/>
      <c r="D25" s="1989"/>
      <c r="E25" s="1989"/>
      <c r="F25" s="1989"/>
      <c r="G25" s="1989"/>
      <c r="H25" s="1990"/>
      <c r="I25" s="113"/>
      <c r="J25" s="2055"/>
      <c r="K25" s="2055"/>
      <c r="L25" s="2055"/>
      <c r="M25" s="2055"/>
      <c r="N25" s="2055"/>
      <c r="O25" s="2055"/>
      <c r="P25" s="2055"/>
      <c r="Q25" s="2055"/>
      <c r="R25" s="2055"/>
      <c r="S25" s="2056"/>
      <c r="T25" s="1948" t="s">
        <v>2075</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6"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1"/>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531</v>
      </c>
      <c r="B39" s="2045"/>
      <c r="C39" s="72"/>
      <c r="D39" s="69"/>
      <c r="E39" s="69"/>
      <c r="F39" s="79"/>
      <c r="G39" s="69"/>
      <c r="H39" s="56"/>
      <c r="I39" s="2044" t="s">
        <v>531</v>
      </c>
      <c r="J39" s="2045"/>
      <c r="K39" s="2045"/>
      <c r="L39" s="2045"/>
      <c r="M39" s="2045"/>
      <c r="N39" s="67"/>
      <c r="O39" s="72"/>
      <c r="P39" s="72"/>
      <c r="Q39" s="78"/>
      <c r="R39" s="72"/>
      <c r="S39" s="56"/>
      <c r="T39" s="72" t="s">
        <v>531</v>
      </c>
      <c r="U39" s="51"/>
      <c r="V39" s="72"/>
      <c r="W39" s="50"/>
      <c r="X39" s="78"/>
      <c r="Y39" s="45"/>
      <c r="Z39" s="45"/>
      <c r="AA39" s="46"/>
    </row>
    <row r="40" spans="1:27" ht="13.5" customHeight="1" x14ac:dyDescent="0.2">
      <c r="A40" s="2047"/>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7"/>
      <c r="B42" s="2038"/>
      <c r="C42" s="2039"/>
      <c r="D42" s="2052"/>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1800</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 header="0.44" footer="0.4"/>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21"/>
    </row>
    <row r="2" spans="1:7" ht="33.75" x14ac:dyDescent="0.2">
      <c r="A2" s="2205" t="s">
        <v>1800</v>
      </c>
      <c r="B2" s="2206"/>
      <c r="C2" s="1884" t="s">
        <v>1954</v>
      </c>
      <c r="D2" s="723" t="s">
        <v>1955</v>
      </c>
      <c r="E2" s="723" t="s">
        <v>1956</v>
      </c>
      <c r="F2" s="1884" t="s">
        <v>1957</v>
      </c>
    </row>
    <row r="3" spans="1:7" ht="15.75" customHeight="1" x14ac:dyDescent="0.2">
      <c r="A3" s="2209" t="s">
        <v>1114</v>
      </c>
      <c r="B3" s="2210"/>
      <c r="C3" s="2198"/>
      <c r="D3" s="2199"/>
      <c r="E3" s="2199"/>
      <c r="F3" s="2200"/>
    </row>
    <row r="4" spans="1:7" ht="12.75" customHeight="1" thickBot="1" x14ac:dyDescent="0.25">
      <c r="A4" s="2207" t="s">
        <v>630</v>
      </c>
      <c r="B4" s="2208"/>
      <c r="C4" s="581"/>
      <c r="D4" s="581"/>
      <c r="E4" s="581"/>
      <c r="F4" s="1755">
        <f>SUM(C4+D4)-E4</f>
        <v>0</v>
      </c>
    </row>
    <row r="5" spans="1:7" ht="15.75" customHeight="1" thickTop="1" x14ac:dyDescent="0.2">
      <c r="A5" s="2192" t="s">
        <v>1110</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388</v>
      </c>
      <c r="B19" s="2218"/>
      <c r="C19" s="726"/>
      <c r="D19" s="585"/>
      <c r="E19" s="726"/>
      <c r="F19" s="1755">
        <f>SUM(C19+D19)-E19</f>
        <v>0</v>
      </c>
    </row>
    <row r="20" spans="1:11" ht="12.75" customHeight="1" thickTop="1" thickBot="1" x14ac:dyDescent="0.25">
      <c r="A20" s="2217" t="s">
        <v>448</v>
      </c>
      <c r="B20" s="2218"/>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1"/>
      <c r="D23" s="581"/>
      <c r="E23" s="581"/>
      <c r="F23" s="1755">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1"/>
      <c r="D25" s="581"/>
      <c r="E25" s="581"/>
      <c r="F25" s="1755">
        <f>SUM(C25+D25)-E25</f>
        <v>0</v>
      </c>
      <c r="G25" s="552"/>
    </row>
    <row r="26" spans="1:11" ht="15.75" customHeight="1" thickTop="1" x14ac:dyDescent="0.2">
      <c r="A26" s="2192" t="s">
        <v>657</v>
      </c>
      <c r="B26" s="2193"/>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20" t="s">
        <v>582</v>
      </c>
      <c r="B29" s="219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1" t="s">
        <v>584</v>
      </c>
      <c r="C52" s="2212"/>
      <c r="D52" s="2212"/>
      <c r="E52" s="749" t="s">
        <v>845</v>
      </c>
      <c r="F52" s="2213"/>
      <c r="G52" s="2214"/>
      <c r="H52" s="736"/>
      <c r="I52" s="736"/>
      <c r="J52" s="746"/>
    </row>
    <row r="53" spans="1:11" ht="11.25" customHeight="1" x14ac:dyDescent="0.2">
      <c r="A53" s="750" t="s">
        <v>913</v>
      </c>
      <c r="B53" s="751" t="s">
        <v>951</v>
      </c>
      <c r="C53" s="746"/>
      <c r="D53" s="737"/>
      <c r="E53" s="749" t="s">
        <v>497</v>
      </c>
      <c r="F53" s="2215"/>
      <c r="G53" s="2216"/>
      <c r="H53" s="736"/>
      <c r="I53" s="736"/>
      <c r="J53" s="746"/>
    </row>
    <row r="54" spans="1:11" ht="11.25" customHeight="1" x14ac:dyDescent="0.2">
      <c r="A54" s="752" t="s">
        <v>914</v>
      </c>
      <c r="B54" s="747" t="s">
        <v>952</v>
      </c>
      <c r="C54" s="746"/>
      <c r="D54" s="737"/>
      <c r="E54" s="749" t="s">
        <v>498</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30"/>
      <c r="I1" s="760"/>
      <c r="J1" s="433"/>
    </row>
    <row r="2" spans="1:11" ht="26.25" x14ac:dyDescent="0.2">
      <c r="A2" s="2224" t="s">
        <v>1677</v>
      </c>
      <c r="B2" s="2225"/>
      <c r="C2" s="2225"/>
      <c r="D2" s="2225"/>
      <c r="E2" s="2226"/>
      <c r="F2" s="761" t="s">
        <v>904</v>
      </c>
      <c r="G2" s="762" t="s">
        <v>1674</v>
      </c>
      <c r="H2" s="762" t="s">
        <v>410</v>
      </c>
      <c r="I2" s="762" t="s">
        <v>1158</v>
      </c>
      <c r="J2" s="762" t="s">
        <v>1810</v>
      </c>
      <c r="K2" s="762" t="s">
        <v>138</v>
      </c>
    </row>
    <row r="3" spans="1:11" x14ac:dyDescent="0.2">
      <c r="A3" s="2227" t="s">
        <v>1962</v>
      </c>
      <c r="B3" s="2228"/>
      <c r="C3" s="2228"/>
      <c r="D3" s="2228"/>
      <c r="E3" s="2229"/>
      <c r="F3" s="763"/>
      <c r="G3" s="764"/>
      <c r="H3" s="764"/>
      <c r="I3" s="764"/>
      <c r="J3" s="765"/>
      <c r="K3" s="765"/>
    </row>
    <row r="4" spans="1:11" x14ac:dyDescent="0.2">
      <c r="A4" s="2230" t="s">
        <v>369</v>
      </c>
      <c r="B4" s="2231"/>
      <c r="C4" s="2231"/>
      <c r="D4" s="2231"/>
      <c r="E4" s="2212"/>
      <c r="F4" s="766"/>
      <c r="G4" s="767"/>
      <c r="H4" s="768"/>
      <c r="I4" s="767"/>
      <c r="J4" s="769"/>
      <c r="K4" s="769"/>
    </row>
    <row r="5" spans="1:11" x14ac:dyDescent="0.2">
      <c r="A5" s="2248" t="s">
        <v>1069</v>
      </c>
      <c r="B5" s="2221"/>
      <c r="C5" s="2221"/>
      <c r="D5" s="2221"/>
      <c r="E5" s="224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8" t="s">
        <v>1811</v>
      </c>
      <c r="B10" s="2221"/>
      <c r="C10" s="2221"/>
      <c r="D10" s="2221"/>
      <c r="E10" s="2250"/>
      <c r="F10" s="783" t="s">
        <v>862</v>
      </c>
      <c r="G10" s="782"/>
      <c r="H10" s="784"/>
      <c r="I10" s="764"/>
      <c r="J10" s="765"/>
      <c r="K10" s="765"/>
    </row>
    <row r="11" spans="1:11" x14ac:dyDescent="0.2">
      <c r="A11" s="2248" t="s">
        <v>160</v>
      </c>
      <c r="B11" s="2221"/>
      <c r="C11" s="2221"/>
      <c r="D11" s="2221"/>
      <c r="E11" s="2249"/>
      <c r="F11" s="770" t="s">
        <v>852</v>
      </c>
      <c r="G11" s="771"/>
      <c r="H11" s="764"/>
      <c r="I11" s="764"/>
      <c r="J11" s="765"/>
      <c r="K11" s="773"/>
    </row>
    <row r="12" spans="1:11" ht="13.5" thickBot="1" x14ac:dyDescent="0.25">
      <c r="A12" s="2238" t="s">
        <v>905</v>
      </c>
      <c r="B12" s="2239"/>
      <c r="C12" s="2239"/>
      <c r="D12" s="2239"/>
      <c r="E12" s="2240"/>
      <c r="F12" s="1757"/>
      <c r="G12" s="1758">
        <f>SUM(G5:G11)</f>
        <v>0</v>
      </c>
      <c r="H12" s="1758">
        <f>SUM(H5:H11)</f>
        <v>0</v>
      </c>
      <c r="I12" s="1758">
        <f>SUM(I5:I11)</f>
        <v>0</v>
      </c>
      <c r="J12" s="1758">
        <f>SUM(J5:J11)</f>
        <v>0</v>
      </c>
      <c r="K12" s="1758">
        <f>SUM(K5:K11)</f>
        <v>0</v>
      </c>
    </row>
    <row r="13" spans="1:11" ht="13.5" thickTop="1" x14ac:dyDescent="0.2">
      <c r="A13" s="2232" t="s">
        <v>370</v>
      </c>
      <c r="B13" s="2233"/>
      <c r="C13" s="2233"/>
      <c r="D13" s="2233"/>
      <c r="E13" s="2234"/>
      <c r="F13" s="785"/>
      <c r="G13" s="786"/>
      <c r="H13" s="787"/>
      <c r="I13" s="788"/>
      <c r="J13" s="788"/>
      <c r="K13" s="788"/>
    </row>
    <row r="14" spans="1:11" x14ac:dyDescent="0.2">
      <c r="A14" s="2254" t="s">
        <v>456</v>
      </c>
      <c r="B14" s="2254"/>
      <c r="C14" s="2254"/>
      <c r="D14" s="2254"/>
      <c r="E14" s="2255"/>
      <c r="F14" s="789" t="s">
        <v>854</v>
      </c>
      <c r="G14" s="782"/>
      <c r="H14" s="764"/>
      <c r="I14" s="771"/>
      <c r="J14" s="773"/>
      <c r="K14" s="765"/>
    </row>
    <row r="15" spans="1:11" x14ac:dyDescent="0.2">
      <c r="A15" s="2221" t="s">
        <v>4</v>
      </c>
      <c r="B15" s="2221"/>
      <c r="C15" s="2221"/>
      <c r="D15" s="2221"/>
      <c r="E15" s="2249"/>
      <c r="F15" s="789" t="s">
        <v>855</v>
      </c>
      <c r="G15" s="771"/>
      <c r="H15" s="764"/>
      <c r="I15" s="764"/>
      <c r="J15" s="765"/>
      <c r="K15" s="765"/>
    </row>
    <row r="16" spans="1:11" x14ac:dyDescent="0.2">
      <c r="A16" s="2221" t="s">
        <v>298</v>
      </c>
      <c r="B16" s="2221"/>
      <c r="C16" s="2221"/>
      <c r="D16" s="2221"/>
      <c r="E16" s="2249"/>
      <c r="F16" s="789" t="s">
        <v>923</v>
      </c>
      <c r="G16" s="772"/>
      <c r="H16" s="767"/>
      <c r="I16" s="767"/>
      <c r="J16" s="769"/>
      <c r="K16" s="769"/>
    </row>
    <row r="17" spans="1:11" x14ac:dyDescent="0.2">
      <c r="A17" s="2243" t="s">
        <v>935</v>
      </c>
      <c r="B17" s="2243"/>
      <c r="C17" s="2243"/>
      <c r="D17" s="2243"/>
      <c r="E17" s="2244"/>
      <c r="F17" s="790"/>
      <c r="G17" s="791"/>
      <c r="H17" s="792"/>
      <c r="I17" s="792"/>
      <c r="J17" s="793"/>
      <c r="K17" s="794"/>
    </row>
    <row r="18" spans="1:11" x14ac:dyDescent="0.2">
      <c r="A18" s="2235" t="s">
        <v>368</v>
      </c>
      <c r="B18" s="2236"/>
      <c r="C18" s="2236"/>
      <c r="D18" s="2236"/>
      <c r="E18" s="2237"/>
      <c r="F18" s="789" t="s">
        <v>932</v>
      </c>
      <c r="G18" s="782"/>
      <c r="H18" s="782"/>
      <c r="I18" s="782"/>
      <c r="J18" s="765"/>
      <c r="K18" s="795"/>
    </row>
    <row r="19" spans="1:11" ht="21.75" customHeight="1" x14ac:dyDescent="0.2">
      <c r="A19" s="2256" t="s">
        <v>1807</v>
      </c>
      <c r="B19" s="2256"/>
      <c r="C19" s="2256"/>
      <c r="D19" s="2256"/>
      <c r="E19" s="2257"/>
      <c r="F19" s="789" t="s">
        <v>933</v>
      </c>
      <c r="G19" s="782"/>
      <c r="H19" s="782"/>
      <c r="I19" s="782"/>
      <c r="J19" s="765"/>
      <c r="K19" s="795"/>
    </row>
    <row r="20" spans="1:11" x14ac:dyDescent="0.2">
      <c r="A20" s="2235" t="s">
        <v>1812</v>
      </c>
      <c r="B20" s="2236"/>
      <c r="C20" s="2236"/>
      <c r="D20" s="2236"/>
      <c r="E20" s="2237"/>
      <c r="F20" s="789" t="s">
        <v>934</v>
      </c>
      <c r="G20" s="782"/>
      <c r="H20" s="782"/>
      <c r="I20" s="782"/>
      <c r="J20" s="765"/>
      <c r="K20" s="795"/>
    </row>
    <row r="21" spans="1:11" ht="13.5" thickBot="1" x14ac:dyDescent="0.25">
      <c r="A21" s="2241" t="s">
        <v>638</v>
      </c>
      <c r="B21" s="2241"/>
      <c r="C21" s="2241"/>
      <c r="D21" s="2241"/>
      <c r="E21" s="2241"/>
      <c r="F21" s="1759"/>
      <c r="G21" s="792"/>
      <c r="H21" s="796"/>
      <c r="I21" s="796"/>
      <c r="J21" s="1760">
        <f>SUM(J18:J20)</f>
        <v>0</v>
      </c>
      <c r="K21" s="793"/>
    </row>
    <row r="22" spans="1:11" ht="13.5" thickTop="1" x14ac:dyDescent="0.2">
      <c r="A22" s="2221" t="s">
        <v>1813</v>
      </c>
      <c r="B22" s="2221"/>
      <c r="C22" s="2221"/>
      <c r="D22" s="2221"/>
      <c r="E22" s="2249"/>
      <c r="F22" s="789" t="s">
        <v>862</v>
      </c>
      <c r="G22" s="782"/>
      <c r="H22" s="764"/>
      <c r="I22" s="764"/>
      <c r="J22" s="797"/>
      <c r="K22" s="765"/>
    </row>
    <row r="23" spans="1:11" ht="13.5" thickBot="1" x14ac:dyDescent="0.25">
      <c r="A23" s="2242" t="s">
        <v>906</v>
      </c>
      <c r="B23" s="2241"/>
      <c r="C23" s="2241"/>
      <c r="D23" s="2241"/>
      <c r="E23" s="2241"/>
      <c r="F23" s="1761"/>
      <c r="G23" s="1758">
        <f>SUM(G14:G16,G21,G22)</f>
        <v>0</v>
      </c>
      <c r="H23" s="1758">
        <f>SUM(H14:H16,H21,H22)</f>
        <v>0</v>
      </c>
      <c r="I23" s="1758">
        <f>SUM(I14:I16,I21,I22)</f>
        <v>0</v>
      </c>
      <c r="J23" s="1758">
        <f>SUM(J14:J16,J21,J22)</f>
        <v>0</v>
      </c>
      <c r="K23" s="1758">
        <f>SUM(K14:K16,K21,K22)</f>
        <v>0</v>
      </c>
    </row>
    <row r="24" spans="1:11" ht="14.25" thickTop="1" thickBot="1" x14ac:dyDescent="0.25">
      <c r="A24" s="2242" t="s">
        <v>1963</v>
      </c>
      <c r="B24" s="2241"/>
      <c r="C24" s="2241"/>
      <c r="D24" s="2241"/>
      <c r="E24" s="224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1"/>
      <c r="I31" s="2252"/>
      <c r="J31" s="2252"/>
      <c r="K31" s="2252"/>
    </row>
    <row r="32" spans="1:11" x14ac:dyDescent="0.2">
      <c r="A32" s="809"/>
      <c r="B32" s="237"/>
      <c r="C32" s="237"/>
      <c r="D32" s="237"/>
      <c r="E32" s="805"/>
      <c r="F32" s="811" t="s">
        <v>540</v>
      </c>
      <c r="G32" s="764"/>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22"/>
      <c r="C41" s="2222"/>
      <c r="D41" s="2222"/>
      <c r="E41" s="2222"/>
      <c r="F41" s="222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5" header="0.46"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topLeftCell="A3"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1907</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v>247923</v>
      </c>
      <c r="E9" s="765"/>
      <c r="F9" s="1760">
        <f>(C9+D9)-E9</f>
        <v>247923</v>
      </c>
      <c r="G9" s="843">
        <v>20</v>
      </c>
      <c r="H9" s="765"/>
      <c r="I9" s="765">
        <v>11363</v>
      </c>
      <c r="J9" s="765"/>
      <c r="K9" s="1769">
        <f>(H9+I9)-J9</f>
        <v>11363</v>
      </c>
      <c r="L9" s="1769">
        <f>F9-K9</f>
        <v>236560</v>
      </c>
    </row>
    <row r="10" spans="1:14" ht="24" thickTop="1" thickBot="1" x14ac:dyDescent="0.25">
      <c r="A10" s="845" t="s">
        <v>1120</v>
      </c>
      <c r="B10" s="840">
        <v>240</v>
      </c>
      <c r="C10" s="846">
        <v>14729</v>
      </c>
      <c r="D10" s="846"/>
      <c r="E10" s="846"/>
      <c r="F10" s="1764">
        <f>(C10+D10)-E10</f>
        <v>14729</v>
      </c>
      <c r="G10" s="843">
        <v>20</v>
      </c>
      <c r="H10" s="847">
        <v>2894</v>
      </c>
      <c r="I10" s="847">
        <v>736</v>
      </c>
      <c r="J10" s="847"/>
      <c r="K10" s="1769">
        <f>(H10+I10)-J10</f>
        <v>3630</v>
      </c>
      <c r="L10" s="1769">
        <f>F10-K10</f>
        <v>11099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228956</v>
      </c>
      <c r="D12" s="844">
        <v>3056</v>
      </c>
      <c r="E12" s="844"/>
      <c r="F12" s="1760">
        <f>(C12+D12)-E12</f>
        <v>232012</v>
      </c>
      <c r="G12" s="843">
        <v>10</v>
      </c>
      <c r="H12" s="765">
        <v>171209</v>
      </c>
      <c r="I12" s="765">
        <v>11310</v>
      </c>
      <c r="J12" s="765"/>
      <c r="K12" s="1769">
        <f>(H12+I12)-J12</f>
        <v>182519</v>
      </c>
      <c r="L12" s="1769">
        <f>F12-K12</f>
        <v>49493</v>
      </c>
    </row>
    <row r="13" spans="1:14" ht="14.25" thickTop="1" thickBot="1" x14ac:dyDescent="0.25">
      <c r="A13" s="848" t="s">
        <v>1122</v>
      </c>
      <c r="B13" s="840">
        <v>252</v>
      </c>
      <c r="C13" s="844">
        <v>131253</v>
      </c>
      <c r="D13" s="844">
        <v>14568</v>
      </c>
      <c r="E13" s="844">
        <v>1721</v>
      </c>
      <c r="F13" s="1760">
        <f>(C13+D13)-E13</f>
        <v>144100</v>
      </c>
      <c r="G13" s="843">
        <v>5</v>
      </c>
      <c r="H13" s="765">
        <v>93601</v>
      </c>
      <c r="I13" s="765">
        <v>19780</v>
      </c>
      <c r="J13" s="765">
        <v>631</v>
      </c>
      <c r="K13" s="1769">
        <f>(H13+I13)-J13</f>
        <v>112750</v>
      </c>
      <c r="L13" s="1769">
        <f>F13-K13</f>
        <v>31350</v>
      </c>
    </row>
    <row r="14" spans="1:14" ht="14.25" thickTop="1" thickBot="1" x14ac:dyDescent="0.25">
      <c r="A14" s="848" t="s">
        <v>1123</v>
      </c>
      <c r="B14" s="840">
        <v>253</v>
      </c>
      <c r="C14" s="765">
        <v>6091</v>
      </c>
      <c r="D14" s="765"/>
      <c r="E14" s="765"/>
      <c r="F14" s="1760">
        <f>(C14+D14)-E14</f>
        <v>6091</v>
      </c>
      <c r="G14" s="843">
        <v>3</v>
      </c>
      <c r="H14" s="765">
        <v>6091</v>
      </c>
      <c r="I14" s="765"/>
      <c r="J14" s="765"/>
      <c r="K14" s="1769">
        <f>(H14+I14)-J14</f>
        <v>6091</v>
      </c>
      <c r="L14" s="1769">
        <f>F14-K14</f>
        <v>0</v>
      </c>
    </row>
    <row r="15" spans="1:14" ht="15" customHeight="1" thickTop="1" thickBot="1" x14ac:dyDescent="0.25">
      <c r="A15" s="1631" t="s">
        <v>528</v>
      </c>
      <c r="B15" s="1630">
        <v>260</v>
      </c>
      <c r="C15" s="844">
        <v>161598</v>
      </c>
      <c r="D15" s="844">
        <v>86325</v>
      </c>
      <c r="E15" s="844">
        <v>247923</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542627</v>
      </c>
      <c r="D16" s="1760">
        <f>SUM(D3,D5:D6,D8:D10,D12:D15)</f>
        <v>351872</v>
      </c>
      <c r="E16" s="1760">
        <f>SUM(E3,E5:E6,E8:E10,E12:E15)</f>
        <v>249644</v>
      </c>
      <c r="F16" s="1760">
        <f>SUM(F3,F5:F6,F8:F10,F12:F15)</f>
        <v>644855</v>
      </c>
      <c r="G16" s="843"/>
      <c r="H16" s="1760">
        <f>SUM(H3,H6,H8:H10,H12:H14,)</f>
        <v>273795</v>
      </c>
      <c r="I16" s="1760">
        <f>SUM(I3,I6,I8:I10,I12:I14,)</f>
        <v>43189</v>
      </c>
      <c r="J16" s="1760">
        <f>SUM(J3,J6,J8:J10,J12:J14,)</f>
        <v>631</v>
      </c>
      <c r="K16" s="1760">
        <f>(H16+I16)-J16</f>
        <v>316353</v>
      </c>
      <c r="L16" s="1760">
        <f>F16-K16</f>
        <v>328502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43189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H202"/>
  <sheetViews>
    <sheetView showGridLines="0" defaultGridColor="0" colorId="8" zoomScale="110" zoomScaleNormal="110" workbookViewId="0">
      <pane ySplit="5" topLeftCell="A42" activePane="bottomLeft" state="frozen"/>
      <selection activeCell="B1" sqref="B1"/>
      <selection pane="bottomLeft" activeCell="C78" sqref="C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2454005</v>
      </c>
      <c r="G8" s="865"/>
    </row>
    <row r="9" spans="1:7" x14ac:dyDescent="0.2">
      <c r="A9" s="869" t="s">
        <v>460</v>
      </c>
      <c r="B9" s="870" t="s">
        <v>1875</v>
      </c>
      <c r="C9" s="871"/>
      <c r="D9" s="869" t="s">
        <v>501</v>
      </c>
      <c r="E9" s="868"/>
      <c r="F9" s="1909">
        <f>'Expenditures 15-22'!K151</f>
        <v>91023</v>
      </c>
      <c r="G9" s="872"/>
    </row>
    <row r="10" spans="1:7" x14ac:dyDescent="0.2">
      <c r="A10" s="869" t="s">
        <v>499</v>
      </c>
      <c r="B10" s="870" t="s">
        <v>1876</v>
      </c>
      <c r="C10" s="871"/>
      <c r="D10" s="869" t="s">
        <v>501</v>
      </c>
      <c r="E10" s="868"/>
      <c r="F10" s="1909">
        <f>'Expenditures 15-22'!K174</f>
        <v>0</v>
      </c>
      <c r="G10" s="872"/>
    </row>
    <row r="11" spans="1:7" x14ac:dyDescent="0.2">
      <c r="A11" s="869" t="s">
        <v>461</v>
      </c>
      <c r="B11" s="870" t="s">
        <v>1877</v>
      </c>
      <c r="C11" s="871"/>
      <c r="D11" s="869" t="s">
        <v>501</v>
      </c>
      <c r="E11" s="868"/>
      <c r="F11" s="1909">
        <f>'Expenditures 15-22'!K210</f>
        <v>0</v>
      </c>
      <c r="G11" s="872"/>
    </row>
    <row r="12" spans="1:7" x14ac:dyDescent="0.2">
      <c r="A12" s="869" t="s">
        <v>462</v>
      </c>
      <c r="B12" s="870" t="s">
        <v>1878</v>
      </c>
      <c r="C12" s="871"/>
      <c r="D12" s="869" t="s">
        <v>501</v>
      </c>
      <c r="E12" s="868"/>
      <c r="F12" s="1909">
        <f>'Expenditures 15-22'!K295</f>
        <v>0</v>
      </c>
      <c r="G12" s="872"/>
    </row>
    <row r="13" spans="1:7" x14ac:dyDescent="0.2">
      <c r="A13" s="869" t="s">
        <v>106</v>
      </c>
      <c r="B13" s="870" t="s">
        <v>1879</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2545028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363575</v>
      </c>
      <c r="G53" s="865"/>
    </row>
    <row r="54" spans="1:7" x14ac:dyDescent="0.2">
      <c r="A54" s="869" t="s">
        <v>459</v>
      </c>
      <c r="B54" s="869" t="s">
        <v>1476</v>
      </c>
      <c r="C54" s="889" t="s">
        <v>982</v>
      </c>
      <c r="D54" s="885" t="s">
        <v>1095</v>
      </c>
      <c r="E54" s="868"/>
      <c r="F54" s="1913">
        <f>'Expenditures 15-22'!G114</f>
        <v>15037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88912</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0</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467524</v>
      </c>
      <c r="G76" s="865"/>
    </row>
    <row r="77" spans="1:8" s="893" customFormat="1" ht="12" customHeight="1" thickTop="1" thickBot="1" x14ac:dyDescent="0.25">
      <c r="A77" s="1779"/>
      <c r="B77" s="1776"/>
      <c r="C77" s="1772"/>
      <c r="D77" s="1777" t="s">
        <v>1898</v>
      </c>
      <c r="E77" s="1774"/>
      <c r="F77" s="1780">
        <f>(F14-F76)</f>
        <v>2077504</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1899</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3140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326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86163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16507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1242393</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57823</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219196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0</v>
      </c>
      <c r="G171" s="927"/>
    </row>
    <row r="172" spans="1:7" x14ac:dyDescent="0.2">
      <c r="A172" s="1918" t="s">
        <v>664</v>
      </c>
      <c r="B172" s="1919" t="s">
        <v>1918</v>
      </c>
      <c r="C172" s="1920">
        <v>3300</v>
      </c>
      <c r="D172" s="1921" t="s">
        <v>1921</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1625548</v>
      </c>
    </row>
    <row r="175" spans="1:7" ht="12" customHeight="1" x14ac:dyDescent="0.2">
      <c r="A175" s="1770"/>
      <c r="B175" s="1784"/>
      <c r="C175" s="1785"/>
      <c r="D175" s="1786" t="s">
        <v>2055</v>
      </c>
      <c r="E175" s="1787"/>
      <c r="F175" s="1789">
        <f>'PCTC-OEPP 27-28'!F77-F174</f>
        <v>451956</v>
      </c>
    </row>
    <row r="176" spans="1:7" ht="12" customHeight="1" x14ac:dyDescent="0.2">
      <c r="A176" s="1770"/>
      <c r="B176" s="1784"/>
      <c r="C176" s="1785"/>
      <c r="D176" s="1786" t="s">
        <v>1815</v>
      </c>
      <c r="E176" s="1787"/>
      <c r="F176" s="1789">
        <f>'Cap Outlay Deprec 26'!I18</f>
        <v>43189</v>
      </c>
    </row>
    <row r="177" spans="1:7" ht="12" customHeight="1" x14ac:dyDescent="0.2">
      <c r="A177" s="1770"/>
      <c r="B177" s="1784"/>
      <c r="C177" s="1785"/>
      <c r="D177" s="1786" t="s">
        <v>2056</v>
      </c>
      <c r="E177" s="1787"/>
      <c r="F177" s="1789">
        <f>F175+F176</f>
        <v>495145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H141"/>
  <sheetViews>
    <sheetView showGridLines="0" zoomScaleNormal="100" workbookViewId="0">
      <selection activeCell="B1" sqref="B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1816</v>
      </c>
      <c r="B4" s="2278"/>
      <c r="C4" s="2278"/>
      <c r="D4" s="2278"/>
      <c r="E4" s="2278"/>
      <c r="F4" s="2278"/>
      <c r="G4" s="2279"/>
    </row>
    <row r="5" spans="1:7" x14ac:dyDescent="0.25">
      <c r="A5" s="2280"/>
      <c r="B5" s="2281"/>
      <c r="C5" s="2281"/>
      <c r="D5" s="2281"/>
      <c r="E5" s="2281"/>
      <c r="F5" s="2281"/>
      <c r="G5" s="2282"/>
    </row>
    <row r="6" spans="1:7" ht="18.75" x14ac:dyDescent="0.25">
      <c r="A6" s="1534" t="s">
        <v>1817</v>
      </c>
      <c r="B6" s="1535"/>
      <c r="C6" s="1535"/>
      <c r="D6" s="1535"/>
      <c r="E6" s="1535"/>
      <c r="F6" s="1535"/>
      <c r="G6" s="1536"/>
    </row>
    <row r="7" spans="1:7" ht="30.75" customHeight="1" x14ac:dyDescent="0.25">
      <c r="A7" s="2283" t="s">
        <v>1930</v>
      </c>
      <c r="B7" s="2284"/>
      <c r="C7" s="2284"/>
      <c r="D7" s="2284"/>
      <c r="E7" s="2284"/>
      <c r="F7" s="2284"/>
      <c r="G7" s="2285"/>
    </row>
    <row r="8" spans="1:7" ht="15.75" customHeight="1" x14ac:dyDescent="0.25">
      <c r="A8" s="2286" t="s">
        <v>1905</v>
      </c>
      <c r="B8" s="2287"/>
      <c r="C8" s="2287"/>
      <c r="D8" s="2287"/>
      <c r="E8" s="2287"/>
      <c r="F8" s="2287"/>
      <c r="G8" s="2288"/>
    </row>
    <row r="9" spans="1:7" ht="35.25" customHeight="1" x14ac:dyDescent="0.25">
      <c r="A9" s="2283" t="s">
        <v>1933</v>
      </c>
      <c r="B9" s="2284"/>
      <c r="C9" s="2284"/>
      <c r="D9" s="2284"/>
      <c r="E9" s="2284"/>
      <c r="F9" s="2284"/>
      <c r="G9" s="2285"/>
    </row>
    <row r="10" spans="1:7" ht="15" customHeight="1" x14ac:dyDescent="0.25">
      <c r="A10" s="1537" t="s">
        <v>1818</v>
      </c>
      <c r="B10" s="1538"/>
      <c r="C10" s="1538"/>
      <c r="D10" s="1538"/>
      <c r="E10" s="1538"/>
      <c r="F10" s="1538"/>
      <c r="G10" s="1539"/>
    </row>
    <row r="11" spans="1:7" ht="17.25" customHeight="1" x14ac:dyDescent="0.25">
      <c r="A11" s="2283" t="s">
        <v>1932</v>
      </c>
      <c r="B11" s="2284"/>
      <c r="C11" s="2284"/>
      <c r="D11" s="2284"/>
      <c r="E11" s="2284"/>
      <c r="F11" s="2284"/>
      <c r="G11" s="2285"/>
    </row>
    <row r="12" spans="1:7" ht="15" customHeight="1" x14ac:dyDescent="0.25">
      <c r="A12" s="1537" t="s">
        <v>1823</v>
      </c>
      <c r="B12" s="1538"/>
      <c r="C12" s="1538"/>
      <c r="D12" s="1538"/>
      <c r="E12" s="1538"/>
      <c r="F12" s="1538"/>
      <c r="G12" s="1539"/>
    </row>
    <row r="13" spans="1:7" ht="32.25" customHeight="1" x14ac:dyDescent="0.25">
      <c r="A13" s="2274" t="s">
        <v>1974</v>
      </c>
      <c r="B13" s="2275"/>
      <c r="C13" s="2275"/>
      <c r="D13" s="2275"/>
      <c r="E13" s="2275"/>
      <c r="F13" s="2275"/>
      <c r="G13" s="227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7" t="s">
        <v>2142</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5" right="0.75" top="0.5" bottom="0.25" header="0.3" footer="0.3"/>
  <pageSetup scale="74"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126451</v>
      </c>
      <c r="F8" s="974"/>
      <c r="G8" s="975"/>
      <c r="H8" s="162"/>
      <c r="I8" s="162"/>
    </row>
    <row r="9" spans="1:9" s="668" customFormat="1" ht="12" customHeight="1" x14ac:dyDescent="0.2">
      <c r="A9" s="970" t="s">
        <v>130</v>
      </c>
      <c r="B9" s="971"/>
      <c r="C9" s="971"/>
      <c r="D9" s="972"/>
      <c r="E9" s="973">
        <v>89046</v>
      </c>
      <c r="F9" s="974"/>
      <c r="G9" s="975"/>
      <c r="H9" s="162"/>
      <c r="I9" s="162"/>
    </row>
    <row r="10" spans="1:9" s="668" customFormat="1" ht="12" customHeight="1" x14ac:dyDescent="0.2">
      <c r="A10" s="970" t="s">
        <v>1931</v>
      </c>
      <c r="B10" s="971"/>
      <c r="C10" s="976"/>
      <c r="D10" s="972"/>
      <c r="E10" s="973">
        <v>136</v>
      </c>
      <c r="F10" s="974"/>
      <c r="G10" s="975"/>
      <c r="H10" s="162"/>
      <c r="I10" s="162"/>
    </row>
    <row r="11" spans="1:9" s="668" customFormat="1" ht="22.5" customHeight="1" x14ac:dyDescent="0.2">
      <c r="A11" s="2294" t="s">
        <v>1975</v>
      </c>
      <c r="B11" s="2295"/>
      <c r="C11" s="2295"/>
      <c r="D11" s="229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427753</v>
      </c>
      <c r="F19" s="1799"/>
      <c r="G19" s="1801">
        <f>'Expenditures 15-22'!K33-SUM('Expenditures 15-22'!G33,'Expenditures 15-22'!I33)+'Expenditures 15-22'!D229</f>
        <v>427753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784662</v>
      </c>
      <c r="F21" s="1802"/>
      <c r="G21" s="1805">
        <f>'Expenditures 15-22'!K42-SUM('Expenditures 15-22'!G42,'Expenditures 15-22'!I42)+'Expenditures 15-22'!K120-SUM('Expenditures 15-22'!G120,'Expenditures 15-22'!I120)+'Expenditures 15-22'!K180-SUM('Expenditures 15-22'!G180,'Expenditures 15-22'!I180)+'Expenditures 15-22'!D238</f>
        <v>784662</v>
      </c>
      <c r="H21" s="987"/>
      <c r="I21" s="162"/>
    </row>
    <row r="22" spans="1:9" s="668" customFormat="1" ht="12" customHeight="1" x14ac:dyDescent="0.2">
      <c r="A22" s="994" t="s">
        <v>564</v>
      </c>
      <c r="B22" s="995"/>
      <c r="C22" s="993">
        <v>2200</v>
      </c>
      <c r="D22" s="1802"/>
      <c r="E22" s="1804">
        <f>'Expenditures 15-22'!K47-SUM('Expenditures 15-22'!G47,'Expenditures 15-22'!I47)+'Expenditures 15-22'!D243</f>
        <v>77474</v>
      </c>
      <c r="F22" s="1802"/>
      <c r="G22" s="1805">
        <f>'Expenditures 15-22'!K47-SUM('Expenditures 15-22'!G47,'Expenditures 15-22'!I47)+'Expenditures 15-22'!D243</f>
        <v>77474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575477</v>
      </c>
      <c r="F23" s="1802"/>
      <c r="G23" s="1804">
        <f>'Expenditures 15-22'!K53-SUM('Expenditures 15-22'!G53,'Expenditures 15-22'!I53)+'Expenditures 15-22'!D257+'Expenditures 15-22'!K330-SUM('Expenditures 15-22'!G330,'Expenditures 15-22'!I330)</f>
        <v>575477</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126451</v>
      </c>
      <c r="F27" s="1804">
        <f>'Expenditures 15-22'!K60-SUM('Expenditures 15-22'!G60,'Expenditures 15-22'!I60)+'Expenditures 15-22'!D264-E8</f>
        <v>0</v>
      </c>
      <c r="G27" s="1805">
        <f>E8</f>
        <v>126451</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85551</v>
      </c>
      <c r="F28" s="1806">
        <f>'Expenditures 15-22'!K61-SUM('Expenditures 15-22'!G61,'Expenditures 15-22'!I61)+'Expenditures 15-22'!K124-SUM('Expenditures 15-22'!G124,'Expenditures 15-22'!I124)+'Expenditures 15-22'!D266-E9</f>
        <v>-3495</v>
      </c>
      <c r="G28" s="1805">
        <f>E9</f>
        <v>89046</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2077368</v>
      </c>
      <c r="F41" s="1806">
        <f>SUM(F19:F39)</f>
        <v>-3495</v>
      </c>
      <c r="G41" s="1806">
        <f>SUM(G19:G40)</f>
        <v>2080863</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0</v>
      </c>
      <c r="F43" s="1807" t="s">
        <v>473</v>
      </c>
      <c r="G43" s="1808">
        <f>F41</f>
        <v>-3495</v>
      </c>
    </row>
    <row r="44" spans="1:7" ht="12" customHeight="1" x14ac:dyDescent="0.2">
      <c r="A44" s="987"/>
      <c r="B44" s="162"/>
      <c r="C44" s="1001"/>
      <c r="D44" s="1807" t="s">
        <v>474</v>
      </c>
      <c r="E44" s="1808">
        <f>E41</f>
        <v>2077368</v>
      </c>
      <c r="F44" s="1807" t="s">
        <v>474</v>
      </c>
      <c r="G44" s="1808">
        <f>G41</f>
        <v>2080863</v>
      </c>
    </row>
    <row r="45" spans="1:7" ht="12" customHeight="1" x14ac:dyDescent="0.2">
      <c r="A45" s="987"/>
      <c r="B45" s="162"/>
      <c r="C45" s="162"/>
      <c r="D45" s="1809" t="s">
        <v>1006</v>
      </c>
      <c r="E45" s="1810">
        <f>(E43/E44)</f>
        <v>0</v>
      </c>
      <c r="F45" s="1809" t="s">
        <v>1006</v>
      </c>
      <c r="G45" s="1810">
        <f>(G43/G44)</f>
        <v>-1.6795915925267545E-3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1" top="0.77" bottom="0.5" header="0.42" footer="0.4"/>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L97"/>
  <sheetViews>
    <sheetView showGridLines="0" zoomScale="110" zoomScaleNormal="110" workbookViewId="0">
      <pane ySplit="4" topLeftCell="A5" activePane="bottomLeft" state="frozen"/>
      <selection activeCell="E11" sqref="E11"/>
      <selection pane="bottomLeft" activeCell="E11" sqref="E1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1379</v>
      </c>
      <c r="B1" s="2300"/>
      <c r="C1" s="2300"/>
      <c r="D1" s="2300"/>
      <c r="E1" s="2300"/>
      <c r="F1" s="2300"/>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1" t="s">
        <v>1546</v>
      </c>
      <c r="B5" s="2302"/>
      <c r="C5" s="2303"/>
      <c r="D5" s="2303"/>
      <c r="E5" s="2303"/>
      <c r="F5" s="2303"/>
    </row>
    <row r="6" spans="1:10" ht="12" customHeight="1" x14ac:dyDescent="0.25">
      <c r="A6" s="1850"/>
      <c r="B6" s="1851"/>
      <c r="C6" s="2304" t="str">
        <f>COVER!A17</f>
        <v xml:space="preserve">JAMP Spec Educ Services </v>
      </c>
      <c r="D6" s="2304"/>
      <c r="E6" s="2304"/>
      <c r="F6" s="1852"/>
    </row>
    <row r="7" spans="1:10" ht="11.25" customHeight="1" thickBot="1" x14ac:dyDescent="0.3">
      <c r="A7" s="1850"/>
      <c r="B7" s="1851"/>
      <c r="C7" s="2305">
        <f>COVER!A13</f>
        <v>30077801060</v>
      </c>
      <c r="D7" s="2305"/>
      <c r="E7" s="2305"/>
      <c r="F7" s="1852"/>
    </row>
    <row r="8" spans="1:10" ht="25.5" customHeight="1" thickBot="1" x14ac:dyDescent="0.25">
      <c r="A8" s="1893" t="s">
        <v>1906</v>
      </c>
      <c r="B8" s="1853" t="s">
        <v>2062</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1391</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5" header="0.17" footer="0.42"/>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 xml:space="preserve">JAMP Spec Educ Services </v>
      </c>
      <c r="J6" s="2325"/>
      <c r="Q6" s="1664"/>
    </row>
    <row r="7" spans="1:17" x14ac:dyDescent="0.2">
      <c r="A7" s="2326" t="s">
        <v>869</v>
      </c>
      <c r="B7" s="2327"/>
      <c r="C7" s="2327"/>
      <c r="D7" s="2327"/>
      <c r="E7" s="2328"/>
      <c r="F7" s="1017"/>
      <c r="G7" s="1009"/>
      <c r="H7" s="1016" t="s">
        <v>372</v>
      </c>
      <c r="I7" s="2329">
        <f>COVER!A13</f>
        <v>30077801060</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584906</v>
      </c>
      <c r="F12" s="1039"/>
      <c r="G12" s="1811">
        <f t="shared" ref="G12:G18" si="0">SUM(E12:F12)</f>
        <v>584906</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584906</v>
      </c>
      <c r="F19" s="1813">
        <f t="shared" si="2"/>
        <v>0</v>
      </c>
      <c r="G19" s="1813">
        <f t="shared" si="2"/>
        <v>584906</v>
      </c>
      <c r="H19" s="1813">
        <f t="shared" si="2"/>
        <v>0</v>
      </c>
      <c r="I19" s="1813">
        <f t="shared" si="2"/>
        <v>0</v>
      </c>
      <c r="J19" s="1813">
        <f t="shared" si="2"/>
        <v>0</v>
      </c>
    </row>
    <row r="20" spans="1:10" ht="13.5" thickTop="1" x14ac:dyDescent="0.2">
      <c r="A20" s="1035">
        <v>9</v>
      </c>
      <c r="B20" s="2336" t="s">
        <v>1979</v>
      </c>
      <c r="C20" s="2336"/>
      <c r="D20" s="233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F66"/>
  <sheetViews>
    <sheetView showGridLines="0" view="pageBreakPreview" zoomScale="60" zoomScaleNormal="110" workbookViewId="0">
      <selection activeCell="E11" sqref="E11"/>
    </sheetView>
  </sheetViews>
  <sheetFormatPr defaultRowHeight="12.75" x14ac:dyDescent="0.2"/>
  <cols>
    <col min="1" max="1" width="3" style="329" customWidth="1"/>
    <col min="2" max="2" width="15.140625" style="329" customWidth="1"/>
    <col min="3" max="3" width="8.140625" style="329" customWidth="1"/>
    <col min="4" max="4" width="14.5703125" style="329" customWidth="1"/>
    <col min="5" max="5" width="46.7109375" style="329" bestFit="1" customWidth="1"/>
    <col min="6" max="6" width="12" style="329" bestFit="1" customWidth="1"/>
    <col min="7" max="16384" width="9.140625" style="329"/>
  </cols>
  <sheetData>
    <row r="2" spans="1:6" x14ac:dyDescent="0.2">
      <c r="A2" s="389" t="s">
        <v>258</v>
      </c>
    </row>
    <row r="3" spans="1:6" x14ac:dyDescent="0.2">
      <c r="A3" s="329" t="s">
        <v>259</v>
      </c>
    </row>
    <row r="4" spans="1:6" x14ac:dyDescent="0.2">
      <c r="B4" s="1939" t="s">
        <v>2077</v>
      </c>
      <c r="C4" s="1939" t="s">
        <v>1077</v>
      </c>
      <c r="D4" s="1939" t="s">
        <v>2078</v>
      </c>
      <c r="E4" s="1939" t="s">
        <v>481</v>
      </c>
      <c r="F4" s="1939" t="s">
        <v>865</v>
      </c>
    </row>
    <row r="5" spans="1:6" ht="15" x14ac:dyDescent="0.35">
      <c r="A5" s="1068">
        <v>1</v>
      </c>
      <c r="B5" s="1940">
        <v>1999</v>
      </c>
      <c r="C5" s="1940">
        <v>10</v>
      </c>
      <c r="D5" s="1940"/>
      <c r="E5" s="329" t="s">
        <v>2079</v>
      </c>
      <c r="F5" s="1941">
        <v>1330</v>
      </c>
    </row>
    <row r="6" spans="1:6" ht="15" x14ac:dyDescent="0.35">
      <c r="A6" s="1068"/>
      <c r="B6" s="1940"/>
      <c r="C6" s="1940"/>
      <c r="D6" s="1940"/>
      <c r="F6" s="1941"/>
    </row>
    <row r="7" spans="1:6" x14ac:dyDescent="0.2">
      <c r="A7" s="1068">
        <v>2</v>
      </c>
      <c r="B7" s="1940">
        <v>3999</v>
      </c>
      <c r="C7" s="1940">
        <v>10</v>
      </c>
      <c r="D7" s="1940"/>
      <c r="E7" s="329" t="s">
        <v>2080</v>
      </c>
      <c r="F7" s="1942"/>
    </row>
    <row r="8" spans="1:6" x14ac:dyDescent="0.2">
      <c r="A8" s="1068"/>
      <c r="B8" s="1940"/>
      <c r="C8" s="1940"/>
      <c r="D8" s="1940"/>
      <c r="E8" s="329" t="s">
        <v>2081</v>
      </c>
      <c r="F8" s="1943">
        <v>86163</v>
      </c>
    </row>
    <row r="9" spans="1:6" x14ac:dyDescent="0.2">
      <c r="B9" s="1940"/>
      <c r="C9" s="1940"/>
      <c r="D9" s="1940"/>
      <c r="F9" s="1942"/>
    </row>
    <row r="10" spans="1:6" x14ac:dyDescent="0.2">
      <c r="A10" s="1068">
        <v>3</v>
      </c>
      <c r="B10" s="1940">
        <v>4190</v>
      </c>
      <c r="C10" s="1940">
        <v>10</v>
      </c>
      <c r="D10" s="1940">
        <v>600</v>
      </c>
      <c r="E10" s="329" t="s">
        <v>2082</v>
      </c>
      <c r="F10" s="1944">
        <v>219196</v>
      </c>
    </row>
    <row r="11" spans="1:6" x14ac:dyDescent="0.2">
      <c r="A11" s="1069"/>
      <c r="B11" s="1940"/>
      <c r="C11" s="1940"/>
      <c r="D11" s="1940"/>
      <c r="E11" s="329" t="s">
        <v>2083</v>
      </c>
      <c r="F11" s="1945">
        <v>41265</v>
      </c>
    </row>
    <row r="12" spans="1:6" x14ac:dyDescent="0.2">
      <c r="A12" s="1069"/>
      <c r="E12" s="329" t="s">
        <v>2084</v>
      </c>
      <c r="F12" s="1945">
        <v>326</v>
      </c>
    </row>
    <row r="13" spans="1:6" x14ac:dyDescent="0.2">
      <c r="A13" s="1069"/>
      <c r="E13" s="329" t="s">
        <v>2086</v>
      </c>
      <c r="F13" s="1945">
        <v>10119</v>
      </c>
    </row>
    <row r="14" spans="1:6" ht="15" x14ac:dyDescent="0.35">
      <c r="A14" s="1069"/>
      <c r="E14" s="329" t="s">
        <v>2085</v>
      </c>
      <c r="F14" s="1946">
        <v>6388</v>
      </c>
    </row>
    <row r="15" spans="1:6" ht="15" x14ac:dyDescent="0.35">
      <c r="A15" s="1069"/>
      <c r="F15" s="1941">
        <f>SUM(F10:F14)</f>
        <v>277294</v>
      </c>
    </row>
    <row r="16" spans="1:6"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 xml:space="preserve">JAMP Spec Educ Services </v>
      </c>
    </row>
    <row r="66" spans="1:2" x14ac:dyDescent="0.2">
      <c r="B66" s="1070">
        <f>COVER!A13</f>
        <v>30077801060</v>
      </c>
    </row>
  </sheetData>
  <phoneticPr fontId="14"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885825</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topLeftCell="A1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2675602</v>
      </c>
      <c r="C8" s="1815">
        <f>'Acct Summary 7-8'!D8</f>
        <v>179629</v>
      </c>
      <c r="D8" s="1815">
        <f>'Acct Summary 7-8'!F8</f>
        <v>0</v>
      </c>
      <c r="E8" s="1815">
        <f>'Acct Summary 7-8'!I8</f>
        <v>0</v>
      </c>
      <c r="F8" s="1815">
        <f>SUM(B8:E8)</f>
        <v>2855231</v>
      </c>
    </row>
    <row r="9" spans="1:8" s="1079" customFormat="1" ht="14.25" customHeight="1" thickBot="1" x14ac:dyDescent="0.25">
      <c r="A9" s="1078" t="s">
        <v>1369</v>
      </c>
      <c r="B9" s="1816">
        <f>'Acct Summary 7-8'!C17</f>
        <v>2454005</v>
      </c>
      <c r="C9" s="1816">
        <f>'Acct Summary 7-8'!D17</f>
        <v>91023</v>
      </c>
      <c r="D9" s="1816">
        <f>'Acct Summary 7-8'!F17</f>
        <v>0</v>
      </c>
      <c r="E9" s="1815"/>
      <c r="F9" s="1815">
        <f>SUM(B9:E9)</f>
        <v>2545028</v>
      </c>
    </row>
    <row r="10" spans="1:8" s="1079" customFormat="1" ht="14.25" thickTop="1" thickBot="1" x14ac:dyDescent="0.25">
      <c r="A10" s="1080" t="s">
        <v>1370</v>
      </c>
      <c r="B10" s="1817">
        <f>(B8-B9)</f>
        <v>221597</v>
      </c>
      <c r="C10" s="1817">
        <f>(C8-C9)</f>
        <v>88606</v>
      </c>
      <c r="D10" s="1817">
        <f>(D8-D9)</f>
        <v>0</v>
      </c>
      <c r="E10" s="1816">
        <f>(E8-E9)</f>
        <v>0</v>
      </c>
      <c r="F10" s="1818">
        <f>SUM(F8-F9)</f>
        <v>310203</v>
      </c>
    </row>
    <row r="11" spans="1:8" s="1079" customFormat="1" ht="14.25" thickTop="1" thickBot="1" x14ac:dyDescent="0.25">
      <c r="A11" s="1081" t="s">
        <v>1983</v>
      </c>
      <c r="B11" s="1819">
        <f>'Acct Summary 7-8'!C81</f>
        <v>762364</v>
      </c>
      <c r="C11" s="1819">
        <f>'Acct Summary 7-8'!D81</f>
        <v>37644</v>
      </c>
      <c r="D11" s="1819">
        <f>'Acct Summary 7-8'!F81</f>
        <v>0</v>
      </c>
      <c r="E11" s="1819">
        <f>'Acct Summary 7-8'!I81</f>
        <v>0</v>
      </c>
      <c r="F11" s="1820">
        <f>SUM(B11:E11)</f>
        <v>800008</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C79" sqref="C7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PLEASE ENTER 9 MO ADA.</v>
      </c>
    </row>
    <row r="80" spans="1:4" x14ac:dyDescent="0.2">
      <c r="A80" s="1098"/>
      <c r="B80" s="1120">
        <v>13</v>
      </c>
      <c r="C80" s="1130" t="s">
        <v>1917</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30077801060</v>
      </c>
    </row>
    <row r="3" spans="1:2" x14ac:dyDescent="0.2">
      <c r="A3" t="s">
        <v>956</v>
      </c>
      <c r="B3" s="138" t="str">
        <f>COVER!A15</f>
        <v>Johnson, Alexander, Massac &amp; Pulaski</v>
      </c>
    </row>
    <row r="4" spans="1:2" x14ac:dyDescent="0.2">
      <c r="A4" t="s">
        <v>1007</v>
      </c>
      <c r="B4" s="138" t="str">
        <f>COVER!A17</f>
        <v xml:space="preserve">JAMP Spec Educ Services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882805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2214</v>
      </c>
      <c r="D86" s="2" t="str">
        <f t="shared" si="0"/>
        <v>Error?</v>
      </c>
    </row>
    <row r="87" spans="1:4" x14ac:dyDescent="0.2">
      <c r="A87" s="10">
        <v>26</v>
      </c>
      <c r="D87" s="2" t="str">
        <f t="shared" si="0"/>
        <v>OK</v>
      </c>
    </row>
    <row r="88" spans="1:4" x14ac:dyDescent="0.2">
      <c r="A88" s="5">
        <v>27</v>
      </c>
      <c r="B88" s="138">
        <f>'Assets-Liab 5-6'!C32</f>
        <v>118227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120441</v>
      </c>
      <c r="C91" s="2" t="s">
        <v>573</v>
      </c>
      <c r="D91" s="2" t="str">
        <f t="shared" si="0"/>
        <v>Error?</v>
      </c>
    </row>
    <row r="92" spans="1:4" x14ac:dyDescent="0.2">
      <c r="A92" s="5">
        <v>31</v>
      </c>
      <c r="B92" s="138">
        <f>'Assets-Liab 5-6'!C39</f>
        <v>762364</v>
      </c>
      <c r="D92" s="2" t="str">
        <f t="shared" si="0"/>
        <v>Error?</v>
      </c>
    </row>
    <row r="93" spans="1:4" x14ac:dyDescent="0.2">
      <c r="A93" s="5">
        <v>32</v>
      </c>
      <c r="B93" s="138">
        <f>'Assets-Liab 5-6'!C41</f>
        <v>882805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37644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37644</v>
      </c>
      <c r="D123" s="2" t="str">
        <f t="shared" si="0"/>
        <v>Error?</v>
      </c>
    </row>
    <row r="124" spans="1:4" x14ac:dyDescent="0.2">
      <c r="A124" s="5">
        <v>63</v>
      </c>
      <c r="B124" s="138">
        <f>'Assets-Liab 5-6'!D41</f>
        <v>37644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247923</v>
      </c>
      <c r="D274" s="2" t="str">
        <f t="shared" si="3"/>
        <v>Error?</v>
      </c>
    </row>
    <row r="275" spans="1:4" x14ac:dyDescent="0.2">
      <c r="A275" s="5">
        <v>214</v>
      </c>
      <c r="B275" s="138">
        <f>'Assets-Liab 5-6'!M18</f>
        <v>14729</v>
      </c>
      <c r="D275" s="2" t="str">
        <f t="shared" si="3"/>
        <v>Error?</v>
      </c>
    </row>
    <row r="276" spans="1:4" x14ac:dyDescent="0.2">
      <c r="A276" s="5">
        <v>215</v>
      </c>
      <c r="B276" s="138">
        <f>'Assets-Liab 5-6'!M19</f>
        <v>382203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644855</v>
      </c>
      <c r="C279" s="2" t="s">
        <v>573</v>
      </c>
      <c r="D279" s="2" t="str">
        <f t="shared" si="3"/>
        <v>Error?</v>
      </c>
    </row>
    <row r="280" spans="1:4" x14ac:dyDescent="0.2">
      <c r="A280" s="5">
        <v>219</v>
      </c>
      <c r="B280" s="138">
        <f>'Assets-Liab 5-6'!M40</f>
        <v>644855</v>
      </c>
      <c r="D280" s="2" t="str">
        <f t="shared" si="3"/>
        <v>Error?</v>
      </c>
    </row>
    <row r="281" spans="1:4" x14ac:dyDescent="0.2">
      <c r="A281" s="5">
        <v>220</v>
      </c>
      <c r="B281" s="138">
        <f>'Assets-Liab 5-6'!M41</f>
        <v>644855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74232</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312108</v>
      </c>
      <c r="C720" s="2" t="s">
        <v>573</v>
      </c>
      <c r="D720" s="2" t="str">
        <f t="shared" si="10"/>
        <v>Error?</v>
      </c>
    </row>
    <row r="721" spans="1:4" x14ac:dyDescent="0.2">
      <c r="A721" s="5">
        <v>660</v>
      </c>
      <c r="B721" s="138">
        <f>'Expenditures 15-22'!C36</f>
        <v>50414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297970</v>
      </c>
      <c r="D723" s="2" t="str">
        <f t="shared" si="10"/>
        <v>Error?</v>
      </c>
    </row>
    <row r="724" spans="1:4" x14ac:dyDescent="0.2">
      <c r="A724" s="5">
        <v>663</v>
      </c>
      <c r="B724" s="138">
        <f>'Expenditures 15-22'!C39</f>
        <v>147337</v>
      </c>
      <c r="D724" s="2" t="str">
        <f t="shared" si="10"/>
        <v>Error?</v>
      </c>
    </row>
    <row r="725" spans="1:4" x14ac:dyDescent="0.2">
      <c r="A725" s="5">
        <v>664</v>
      </c>
      <c r="B725" s="138">
        <f>'Expenditures 15-22'!C40</f>
        <v>107530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603251</v>
      </c>
      <c r="C727" s="2" t="s">
        <v>573</v>
      </c>
      <c r="D727" s="2" t="str">
        <f t="shared" si="10"/>
        <v>Error?</v>
      </c>
    </row>
    <row r="728" spans="1:4" x14ac:dyDescent="0.2">
      <c r="A728" s="5">
        <v>667</v>
      </c>
      <c r="B728" s="138">
        <f>'Expenditures 15-22'!C44</f>
        <v>27415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27415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333310</v>
      </c>
      <c r="D733" s="2" t="str">
        <f t="shared" si="10"/>
        <v>Error?</v>
      </c>
    </row>
    <row r="734" spans="1:4" x14ac:dyDescent="0.2">
      <c r="A734" s="5">
        <v>673</v>
      </c>
      <c r="B734" s="138">
        <f>'Expenditures 15-22'!C53</f>
        <v>333310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94832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94832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1058808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1370916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12847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66953</v>
      </c>
      <c r="C778" s="2" t="s">
        <v>573</v>
      </c>
      <c r="D778" s="2" t="str">
        <f t="shared" si="11"/>
        <v>Error?</v>
      </c>
    </row>
    <row r="779" spans="1:4" x14ac:dyDescent="0.2">
      <c r="A779" s="5">
        <v>718</v>
      </c>
      <c r="B779" s="138">
        <f>'Expenditures 15-22'!D36</f>
        <v>10886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59222</v>
      </c>
      <c r="D781" s="2" t="str">
        <f t="shared" si="11"/>
        <v>Error?</v>
      </c>
    </row>
    <row r="782" spans="1:4" x14ac:dyDescent="0.2">
      <c r="A782" s="5">
        <v>721</v>
      </c>
      <c r="B782" s="138">
        <f>'Expenditures 15-22'!D39</f>
        <v>31854</v>
      </c>
      <c r="D782" s="2" t="str">
        <f t="shared" si="11"/>
        <v>Error?</v>
      </c>
    </row>
    <row r="783" spans="1:4" x14ac:dyDescent="0.2">
      <c r="A783" s="5">
        <v>722</v>
      </c>
      <c r="B783" s="138">
        <f>'Expenditures 15-22'!D40</f>
        <v>17642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119604</v>
      </c>
      <c r="C785" s="2" t="s">
        <v>573</v>
      </c>
      <c r="D785" s="2" t="str">
        <f t="shared" si="11"/>
        <v>Error?</v>
      </c>
    </row>
    <row r="786" spans="1:4" x14ac:dyDescent="0.2">
      <c r="A786" s="5">
        <v>725</v>
      </c>
      <c r="B786" s="138">
        <f>'Expenditures 15-22'!D44</f>
        <v>7060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7060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64184</v>
      </c>
      <c r="D791" s="2" t="str">
        <f t="shared" si="11"/>
        <v>Error?</v>
      </c>
    </row>
    <row r="792" spans="1:4" x14ac:dyDescent="0.2">
      <c r="A792" s="5">
        <v>731</v>
      </c>
      <c r="B792" s="138">
        <f>'Expenditures 15-22'!D53</f>
        <v>64184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30027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30027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220875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287828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26303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37529</v>
      </c>
      <c r="C836" s="2" t="s">
        <v>573</v>
      </c>
      <c r="D836" s="2" t="str">
        <f t="shared" si="12"/>
        <v>Error?</v>
      </c>
    </row>
    <row r="837" spans="1:4" x14ac:dyDescent="0.2">
      <c r="A837" s="5">
        <v>776</v>
      </c>
      <c r="B837" s="138">
        <f>'Expenditures 15-22'!E36</f>
        <v>18543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16725</v>
      </c>
      <c r="D839" s="2" t="str">
        <f t="shared" si="12"/>
        <v>Error?</v>
      </c>
    </row>
    <row r="840" spans="1:4" x14ac:dyDescent="0.2">
      <c r="A840" s="5">
        <v>779</v>
      </c>
      <c r="B840" s="138">
        <f>'Expenditures 15-22'!E39</f>
        <v>10817</v>
      </c>
      <c r="D840" s="2" t="str">
        <f t="shared" si="12"/>
        <v>Error?</v>
      </c>
    </row>
    <row r="841" spans="1:4" x14ac:dyDescent="0.2">
      <c r="A841" s="5">
        <v>780</v>
      </c>
      <c r="B841" s="138">
        <f>'Expenditures 15-22'!E40</f>
        <v>2117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48202</v>
      </c>
      <c r="C843" s="2" t="s">
        <v>573</v>
      </c>
      <c r="D843" s="2" t="str">
        <f t="shared" si="12"/>
        <v>Error?</v>
      </c>
    </row>
    <row r="844" spans="1:4" x14ac:dyDescent="0.2">
      <c r="A844" s="5">
        <v>783</v>
      </c>
      <c r="B844" s="138">
        <f>'Expenditures 15-22'!E44</f>
        <v>42578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42578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155901</v>
      </c>
      <c r="D849" s="2" t="str">
        <f t="shared" si="12"/>
        <v>Error?</v>
      </c>
    </row>
    <row r="850" spans="1:4" x14ac:dyDescent="0.2">
      <c r="A850" s="5">
        <v>789</v>
      </c>
      <c r="B850" s="138">
        <f>'Expenditures 15-22'!E53</f>
        <v>155901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58225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58225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304906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342435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4803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11163</v>
      </c>
      <c r="C894" s="2" t="s">
        <v>573</v>
      </c>
      <c r="D894" s="2" t="str">
        <f t="shared" si="12"/>
        <v>Error?</v>
      </c>
    </row>
    <row r="895" spans="1:4" x14ac:dyDescent="0.2">
      <c r="A895" s="5">
        <v>834</v>
      </c>
      <c r="B895" s="138">
        <f>'Expenditures 15-22'!F36</f>
        <v>1579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2981</v>
      </c>
      <c r="D897" s="2" t="str">
        <f t="shared" si="13"/>
        <v>Error?</v>
      </c>
    </row>
    <row r="898" spans="1:4" x14ac:dyDescent="0.2">
      <c r="A898" s="5">
        <v>837</v>
      </c>
      <c r="B898" s="138">
        <f>'Expenditures 15-22'!F39</f>
        <v>7049</v>
      </c>
      <c r="D898" s="2" t="str">
        <f t="shared" si="13"/>
        <v>Error?</v>
      </c>
    </row>
    <row r="899" spans="1:4" x14ac:dyDescent="0.2">
      <c r="A899" s="5">
        <v>838</v>
      </c>
      <c r="B899" s="138">
        <f>'Expenditures 15-22'!F40</f>
        <v>1996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13605</v>
      </c>
      <c r="C901" s="2" t="s">
        <v>573</v>
      </c>
      <c r="D901" s="2" t="str">
        <f t="shared" si="13"/>
        <v>Error?</v>
      </c>
    </row>
    <row r="902" spans="1:4" x14ac:dyDescent="0.2">
      <c r="A902" s="5">
        <v>841</v>
      </c>
      <c r="B902" s="138">
        <f>'Expenditures 15-22'!F44</f>
        <v>421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421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15196</v>
      </c>
      <c r="D907" s="2" t="str">
        <f t="shared" si="13"/>
        <v>Error?</v>
      </c>
    </row>
    <row r="908" spans="1:4" x14ac:dyDescent="0.2">
      <c r="A908" s="5">
        <v>847</v>
      </c>
      <c r="B908" s="138">
        <f>'Expenditures 15-22'!F53</f>
        <v>15196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25215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25351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54573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65736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9429</v>
      </c>
      <c r="D965" s="2" t="str">
        <f t="shared" si="14"/>
        <v>Error?</v>
      </c>
    </row>
    <row r="966" spans="1:4" x14ac:dyDescent="0.2">
      <c r="A966" s="5">
        <v>905</v>
      </c>
      <c r="B966" s="138">
        <f>'Expenditures 15-22'!G53</f>
        <v>9429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5608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5608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15037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15037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6886</v>
      </c>
      <c r="D1023" s="2" t="str">
        <f t="shared" ref="D1023:D1086" si="15">IF(ISBLANK(B1023),"OK",IF(A1023-B1023=0,"OK","Error?"))</f>
        <v>Error?</v>
      </c>
    </row>
    <row r="1024" spans="1:4" x14ac:dyDescent="0.2">
      <c r="A1024" s="5">
        <v>963</v>
      </c>
      <c r="B1024" s="138">
        <f>'Expenditures 15-22'!H53</f>
        <v>6886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1592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1592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363575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372053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118185</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427753</v>
      </c>
      <c r="C1108" s="2" t="s">
        <v>573</v>
      </c>
      <c r="D1108" s="2" t="str">
        <f t="shared" si="16"/>
        <v>Error?</v>
      </c>
    </row>
    <row r="1109" spans="1:4" x14ac:dyDescent="0.2">
      <c r="A1109" s="5">
        <v>1048</v>
      </c>
      <c r="B1109" s="138">
        <f>'Expenditures 15-22'!K36</f>
        <v>81422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376898</v>
      </c>
      <c r="C1111" s="2" t="s">
        <v>573</v>
      </c>
      <c r="D1111" s="2" t="str">
        <f t="shared" si="16"/>
        <v>Error?</v>
      </c>
    </row>
    <row r="1112" spans="1:4" x14ac:dyDescent="0.2">
      <c r="A1112" s="5">
        <v>1051</v>
      </c>
      <c r="B1112" s="138">
        <f>'Expenditures 15-22'!K39</f>
        <v>197057</v>
      </c>
      <c r="C1112" s="2" t="s">
        <v>573</v>
      </c>
      <c r="D1112" s="2" t="str">
        <f t="shared" si="16"/>
        <v>Error?</v>
      </c>
    </row>
    <row r="1113" spans="1:4" x14ac:dyDescent="0.2">
      <c r="A1113" s="5">
        <v>1052</v>
      </c>
      <c r="B1113" s="138">
        <f>'Expenditures 15-22'!K40</f>
        <v>129285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784662</v>
      </c>
      <c r="C1115" s="2" t="s">
        <v>573</v>
      </c>
      <c r="D1115" s="2" t="str">
        <f t="shared" si="16"/>
        <v>Error?</v>
      </c>
    </row>
    <row r="1116" spans="1:4" x14ac:dyDescent="0.2">
      <c r="A1116" s="5">
        <v>1055</v>
      </c>
      <c r="B1116" s="138">
        <f>'Expenditures 15-22'!K44</f>
        <v>77474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77474</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584906</v>
      </c>
      <c r="C1121" s="2" t="s">
        <v>573</v>
      </c>
      <c r="D1121" s="2" t="str">
        <f t="shared" si="16"/>
        <v>Error?</v>
      </c>
    </row>
    <row r="1122" spans="1:4" x14ac:dyDescent="0.2">
      <c r="A1122" s="5">
        <v>1061</v>
      </c>
      <c r="B1122" s="138">
        <f>'Expenditures 15-22'!K53</f>
        <v>584906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126451</v>
      </c>
      <c r="C1127" s="2" t="s">
        <v>573</v>
      </c>
      <c r="D1127" s="2" t="str">
        <f t="shared" si="16"/>
        <v>Error?</v>
      </c>
    </row>
    <row r="1128" spans="1:4" x14ac:dyDescent="0.2">
      <c r="A1128" s="5">
        <v>1067</v>
      </c>
      <c r="B1128" s="138">
        <f>'Expenditures 15-22'!K61</f>
        <v>89048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215635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1662677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363575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2454005</v>
      </c>
      <c r="C1152" s="2" t="s">
        <v>573</v>
      </c>
      <c r="D1152" s="2" t="str">
        <f t="shared" si="17"/>
        <v>Error?</v>
      </c>
    </row>
    <row r="1153" spans="1:4" x14ac:dyDescent="0.2">
      <c r="A1153" s="5">
        <v>1092</v>
      </c>
      <c r="B1153" s="138">
        <f>'Expenditures 15-22'!K115</f>
        <v>221597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1770</v>
      </c>
      <c r="D1237" s="2" t="str">
        <f t="shared" si="18"/>
        <v>Error?</v>
      </c>
    </row>
    <row r="1238" spans="1:4" x14ac:dyDescent="0.2">
      <c r="A1238" s="10">
        <v>1177</v>
      </c>
      <c r="D1238" s="2" t="str">
        <f t="shared" si="18"/>
        <v>OK</v>
      </c>
    </row>
    <row r="1239" spans="1:4" x14ac:dyDescent="0.2">
      <c r="A1239" s="5">
        <v>1178</v>
      </c>
      <c r="B1239" s="138">
        <f>'Expenditures 15-22'!E127</f>
        <v>1770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1770</v>
      </c>
      <c r="C1241" s="2" t="s">
        <v>573</v>
      </c>
      <c r="D1241" s="2" t="str">
        <f t="shared" si="18"/>
        <v>Error?</v>
      </c>
    </row>
    <row r="1242" spans="1:4" x14ac:dyDescent="0.2">
      <c r="A1242" s="5">
        <v>1181</v>
      </c>
      <c r="B1242" s="138">
        <f>'Expenditures 15-22'!E151</f>
        <v>1770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341</v>
      </c>
      <c r="D1245" s="2" t="str">
        <f t="shared" si="18"/>
        <v>Error?</v>
      </c>
    </row>
    <row r="1246" spans="1:4" x14ac:dyDescent="0.2">
      <c r="A1246" s="10">
        <v>1185</v>
      </c>
      <c r="D1246" s="2" t="str">
        <f t="shared" si="18"/>
        <v>OK</v>
      </c>
    </row>
    <row r="1247" spans="1:4" x14ac:dyDescent="0.2">
      <c r="A1247" s="5">
        <v>1186</v>
      </c>
      <c r="B1247" s="138">
        <f>'Expenditures 15-22'!F127</f>
        <v>341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341</v>
      </c>
      <c r="C1249" s="2" t="s">
        <v>573</v>
      </c>
      <c r="D1249" s="2" t="str">
        <f t="shared" si="18"/>
        <v>Error?</v>
      </c>
    </row>
    <row r="1250" spans="1:4" x14ac:dyDescent="0.2">
      <c r="A1250" s="5">
        <v>1189</v>
      </c>
      <c r="B1250" s="138">
        <f>'Expenditures 15-22'!F151</f>
        <v>341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88912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88912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88912</v>
      </c>
      <c r="C1258" s="2" t="s">
        <v>573</v>
      </c>
      <c r="D1258" s="2" t="str">
        <f t="shared" si="18"/>
        <v>Error?</v>
      </c>
    </row>
    <row r="1259" spans="1:4" x14ac:dyDescent="0.2">
      <c r="A1259" s="5">
        <v>1198</v>
      </c>
      <c r="B1259" s="138">
        <f>'Expenditures 15-22'!G151</f>
        <v>88912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91023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91023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91023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91023</v>
      </c>
      <c r="C1288" s="2" t="s">
        <v>573</v>
      </c>
      <c r="D1288" s="2" t="str">
        <f t="shared" si="19"/>
        <v>Error?</v>
      </c>
    </row>
    <row r="1289" spans="1:4" x14ac:dyDescent="0.2">
      <c r="A1289" s="5">
        <v>1228</v>
      </c>
      <c r="B1289" s="138">
        <f>'Expenditures 15-22'!K152</f>
        <v>88606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540767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762364</v>
      </c>
      <c r="C1630" s="2" t="s">
        <v>573</v>
      </c>
      <c r="D1630" s="2" t="str">
        <f t="shared" si="24"/>
        <v>Error?</v>
      </c>
    </row>
    <row r="1631" spans="1:4" x14ac:dyDescent="0.2">
      <c r="A1631" s="5">
        <v>1570</v>
      </c>
      <c r="B1631" s="138">
        <f>'Acct Summary 7-8'!D79</f>
        <v>-50962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37644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14729</v>
      </c>
      <c r="D2010" s="2" t="str">
        <f t="shared" si="30"/>
        <v>Error?</v>
      </c>
    </row>
    <row r="2011" spans="1:4" x14ac:dyDescent="0.2">
      <c r="A2011" s="5">
        <v>1950</v>
      </c>
      <c r="B2011" s="138">
        <f>'Cap Outlay Deprec 26'!C12</f>
        <v>228956</v>
      </c>
      <c r="D2011" s="2" t="str">
        <f t="shared" si="30"/>
        <v>Error?</v>
      </c>
    </row>
    <row r="2012" spans="1:4" x14ac:dyDescent="0.2">
      <c r="A2012" s="5">
        <v>1951</v>
      </c>
      <c r="B2012" s="138">
        <f>'Cap Outlay Deprec 26'!C13</f>
        <v>131253</v>
      </c>
      <c r="D2012" s="2" t="str">
        <f t="shared" si="30"/>
        <v>Error?</v>
      </c>
    </row>
    <row r="2013" spans="1:4" x14ac:dyDescent="0.2">
      <c r="A2013" s="5">
        <v>1952</v>
      </c>
      <c r="B2013" s="138">
        <f>'Cap Outlay Deprec 26'!C16</f>
        <v>542627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3056</v>
      </c>
      <c r="D2017" s="2" t="str">
        <f t="shared" si="30"/>
        <v>Error?</v>
      </c>
    </row>
    <row r="2018" spans="1:4" x14ac:dyDescent="0.2">
      <c r="A2018" s="5">
        <v>1957</v>
      </c>
      <c r="B2018" s="138">
        <f>'Cap Outlay Deprec 26'!D13</f>
        <v>14568</v>
      </c>
      <c r="D2018" s="2" t="str">
        <f t="shared" si="30"/>
        <v>Error?</v>
      </c>
    </row>
    <row r="2019" spans="1:4" x14ac:dyDescent="0.2">
      <c r="A2019" s="5">
        <v>1958</v>
      </c>
      <c r="B2019" s="138">
        <f>'Cap Outlay Deprec 26'!D16</f>
        <v>351872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1721</v>
      </c>
      <c r="D2024" s="2" t="str">
        <f t="shared" si="30"/>
        <v>Error?</v>
      </c>
    </row>
    <row r="2025" spans="1:4" x14ac:dyDescent="0.2">
      <c r="A2025" s="5">
        <v>1964</v>
      </c>
      <c r="B2025" s="138">
        <f>'Cap Outlay Deprec 26'!E16</f>
        <v>249644</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14729</v>
      </c>
      <c r="C2028" s="2" t="s">
        <v>573</v>
      </c>
      <c r="D2028" s="2" t="str">
        <f t="shared" si="30"/>
        <v>Error?</v>
      </c>
    </row>
    <row r="2029" spans="1:4" x14ac:dyDescent="0.2">
      <c r="A2029" s="5">
        <v>1968</v>
      </c>
      <c r="B2029" s="138">
        <f>'Cap Outlay Deprec 26'!F12</f>
        <v>232012</v>
      </c>
      <c r="C2029" s="2" t="s">
        <v>573</v>
      </c>
      <c r="D2029" s="2" t="str">
        <f t="shared" si="30"/>
        <v>Error?</v>
      </c>
    </row>
    <row r="2030" spans="1:4" x14ac:dyDescent="0.2">
      <c r="A2030" s="5">
        <v>1969</v>
      </c>
      <c r="B2030" s="138">
        <f>'Cap Outlay Deprec 26'!F13</f>
        <v>144100</v>
      </c>
      <c r="C2030" s="2" t="s">
        <v>573</v>
      </c>
      <c r="D2030" s="2" t="str">
        <f t="shared" si="30"/>
        <v>Error?</v>
      </c>
    </row>
    <row r="2031" spans="1:4" x14ac:dyDescent="0.2">
      <c r="A2031" s="5">
        <v>1970</v>
      </c>
      <c r="B2031" s="138">
        <f>'Cap Outlay Deprec 26'!F16</f>
        <v>644855</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2894</v>
      </c>
      <c r="D2034" s="2" t="str">
        <f t="shared" si="30"/>
        <v>Error?</v>
      </c>
    </row>
    <row r="2035" spans="1:4" x14ac:dyDescent="0.2">
      <c r="A2035" s="5">
        <v>1974</v>
      </c>
      <c r="B2035" s="138">
        <f>'Cap Outlay Deprec 26'!H12</f>
        <v>171209</v>
      </c>
      <c r="D2035" s="2" t="str">
        <f t="shared" si="30"/>
        <v>Error?</v>
      </c>
    </row>
    <row r="2036" spans="1:4" x14ac:dyDescent="0.2">
      <c r="A2036" s="5">
        <v>1975</v>
      </c>
      <c r="B2036" s="138">
        <f>'Cap Outlay Deprec 26'!H13</f>
        <v>93601</v>
      </c>
      <c r="D2036" s="2" t="str">
        <f t="shared" si="30"/>
        <v>Error?</v>
      </c>
    </row>
    <row r="2037" spans="1:4" x14ac:dyDescent="0.2">
      <c r="A2037" s="5">
        <v>1976</v>
      </c>
      <c r="B2037" s="138">
        <f>'Cap Outlay Deprec 26'!H16</f>
        <v>273795</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736</v>
      </c>
      <c r="D2040" s="2" t="str">
        <f t="shared" si="30"/>
        <v>Error?</v>
      </c>
    </row>
    <row r="2041" spans="1:4" x14ac:dyDescent="0.2">
      <c r="A2041" s="5">
        <v>1980</v>
      </c>
      <c r="B2041" s="138">
        <f>'Cap Outlay Deprec 26'!I12</f>
        <v>11310</v>
      </c>
      <c r="D2041" s="2" t="str">
        <f t="shared" si="30"/>
        <v>Error?</v>
      </c>
    </row>
    <row r="2042" spans="1:4" x14ac:dyDescent="0.2">
      <c r="A2042" s="5">
        <v>1981</v>
      </c>
      <c r="B2042" s="138">
        <f>'Cap Outlay Deprec 26'!I13</f>
        <v>19780</v>
      </c>
      <c r="D2042" s="2" t="str">
        <f t="shared" si="30"/>
        <v>Error?</v>
      </c>
    </row>
    <row r="2043" spans="1:4" x14ac:dyDescent="0.2">
      <c r="A2043" s="5">
        <v>1982</v>
      </c>
      <c r="B2043" s="138">
        <f>'Cap Outlay Deprec 26'!I16</f>
        <v>43189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631</v>
      </c>
      <c r="D2048" s="2" t="str">
        <f t="shared" si="31"/>
        <v>Error?</v>
      </c>
    </row>
    <row r="2049" spans="1:4" x14ac:dyDescent="0.2">
      <c r="A2049" s="5">
        <v>1988</v>
      </c>
      <c r="B2049" s="138">
        <f>'Cap Outlay Deprec 26'!J16</f>
        <v>631</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3630</v>
      </c>
      <c r="C2052" s="2" t="s">
        <v>573</v>
      </c>
      <c r="D2052" s="2" t="str">
        <f t="shared" si="31"/>
        <v>Error?</v>
      </c>
    </row>
    <row r="2053" spans="1:4" x14ac:dyDescent="0.2">
      <c r="A2053" s="5">
        <v>1992</v>
      </c>
      <c r="B2053" s="138">
        <f>'Cap Outlay Deprec 26'!K12</f>
        <v>182519</v>
      </c>
      <c r="C2053" s="2" t="s">
        <v>573</v>
      </c>
      <c r="D2053" s="2" t="str">
        <f t="shared" si="31"/>
        <v>Error?</v>
      </c>
    </row>
    <row r="2054" spans="1:4" x14ac:dyDescent="0.2">
      <c r="A2054" s="5">
        <v>1993</v>
      </c>
      <c r="B2054" s="138">
        <f>'Cap Outlay Deprec 26'!K13</f>
        <v>112750</v>
      </c>
      <c r="C2054" s="2" t="s">
        <v>573</v>
      </c>
      <c r="D2054" s="2" t="str">
        <f t="shared" si="31"/>
        <v>Error?</v>
      </c>
    </row>
    <row r="2055" spans="1:4" x14ac:dyDescent="0.2">
      <c r="A2055" s="5">
        <v>1994</v>
      </c>
      <c r="B2055" s="138">
        <f>'Cap Outlay Deprec 26'!K16</f>
        <v>316353</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11099</v>
      </c>
      <c r="C2058" s="2" t="s">
        <v>573</v>
      </c>
      <c r="D2058" s="2" t="str">
        <f t="shared" si="31"/>
        <v>Error?</v>
      </c>
    </row>
    <row r="2059" spans="1:4" x14ac:dyDescent="0.2">
      <c r="A2059" s="5">
        <v>1998</v>
      </c>
      <c r="B2059" s="138">
        <f>'Cap Outlay Deprec 26'!L12</f>
        <v>49493</v>
      </c>
      <c r="C2059" s="2" t="s">
        <v>573</v>
      </c>
      <c r="D2059" s="2" t="str">
        <f t="shared" si="31"/>
        <v>Error?</v>
      </c>
    </row>
    <row r="2060" spans="1:4" x14ac:dyDescent="0.2">
      <c r="A2060" s="5">
        <v>1999</v>
      </c>
      <c r="B2060" s="138">
        <f>'Cap Outlay Deprec 26'!L13</f>
        <v>31350</v>
      </c>
      <c r="C2060" s="2" t="s">
        <v>573</v>
      </c>
      <c r="D2060" s="2" t="str">
        <f t="shared" si="31"/>
        <v>Error?</v>
      </c>
    </row>
    <row r="2061" spans="1:4" x14ac:dyDescent="0.2">
      <c r="A2061" s="5">
        <v>2000</v>
      </c>
      <c r="B2061" s="138">
        <f>'Cap Outlay Deprec 26'!L16</f>
        <v>328502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363575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363575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984244</v>
      </c>
      <c r="C2551" s="2" t="s">
        <v>573</v>
      </c>
      <c r="D2551" s="2" t="str">
        <f t="shared" si="38"/>
        <v>Error?</v>
      </c>
    </row>
    <row r="2552" spans="1:4" x14ac:dyDescent="0.2">
      <c r="A2552" s="10">
        <v>2491</v>
      </c>
      <c r="D2552" s="2" t="str">
        <f t="shared" si="38"/>
        <v>OK</v>
      </c>
    </row>
    <row r="2553" spans="1:4" x14ac:dyDescent="0.2">
      <c r="A2553" s="5">
        <v>2492</v>
      </c>
      <c r="B2553" s="138">
        <f>'Acct Summary 7-8'!C6</f>
        <v>297415</v>
      </c>
      <c r="C2553" s="2" t="s">
        <v>573</v>
      </c>
      <c r="D2553" s="2" t="str">
        <f t="shared" si="38"/>
        <v>Error?</v>
      </c>
    </row>
    <row r="2554" spans="1:4" x14ac:dyDescent="0.2">
      <c r="A2554" s="5">
        <v>2493</v>
      </c>
      <c r="B2554" s="138">
        <f>'Acct Summary 7-8'!C7</f>
        <v>1393943</v>
      </c>
      <c r="C2554" s="2" t="s">
        <v>573</v>
      </c>
      <c r="D2554" s="2" t="str">
        <f t="shared" si="38"/>
        <v>Error?</v>
      </c>
    </row>
    <row r="2555" spans="1:4" x14ac:dyDescent="0.2">
      <c r="A2555" s="5">
        <v>2494</v>
      </c>
      <c r="B2555" s="138">
        <f>'Acct Summary 7-8'!C8</f>
        <v>2675602</v>
      </c>
      <c r="C2555" s="2" t="s">
        <v>573</v>
      </c>
      <c r="D2555" s="2" t="str">
        <f t="shared" si="38"/>
        <v>Error?</v>
      </c>
    </row>
    <row r="2556" spans="1:4" x14ac:dyDescent="0.2">
      <c r="A2556" s="5">
        <v>2495</v>
      </c>
      <c r="B2556" s="138">
        <f>'Acct Summary 7-8'!C12</f>
        <v>427753</v>
      </c>
      <c r="C2556" s="2" t="s">
        <v>573</v>
      </c>
      <c r="D2556" s="2" t="str">
        <f t="shared" si="38"/>
        <v>Error?</v>
      </c>
    </row>
    <row r="2557" spans="1:4" x14ac:dyDescent="0.2">
      <c r="A2557" s="5">
        <v>2496</v>
      </c>
      <c r="B2557" s="138">
        <f>'Acct Summary 7-8'!C13</f>
        <v>1662677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363575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2454005</v>
      </c>
      <c r="C2561" s="2" t="s">
        <v>573</v>
      </c>
      <c r="D2561" s="2" t="str">
        <f t="shared" si="39"/>
        <v>Error?</v>
      </c>
    </row>
    <row r="2562" spans="1:4" x14ac:dyDescent="0.2">
      <c r="A2562" s="5">
        <v>2501</v>
      </c>
      <c r="B2562" s="138">
        <f>'Acct Summary 7-8'!C20</f>
        <v>221597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3140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176489</v>
      </c>
      <c r="C2567" s="2" t="s">
        <v>573</v>
      </c>
      <c r="D2567" s="2" t="str">
        <f t="shared" si="39"/>
        <v>Error?</v>
      </c>
    </row>
    <row r="2568" spans="1:4" x14ac:dyDescent="0.2">
      <c r="A2568" s="5">
        <v>2507</v>
      </c>
      <c r="B2568" s="138">
        <f>'Acct Summary 7-8'!D8</f>
        <v>179629</v>
      </c>
      <c r="C2568" s="2" t="s">
        <v>573</v>
      </c>
      <c r="D2568" s="2" t="str">
        <f t="shared" si="39"/>
        <v>Error?</v>
      </c>
    </row>
    <row r="2569" spans="1:4" x14ac:dyDescent="0.2">
      <c r="A2569" s="5">
        <v>2508</v>
      </c>
      <c r="B2569" s="138">
        <f>'Acct Summary 7-8'!D13</f>
        <v>91023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91023</v>
      </c>
      <c r="C2573" s="2" t="s">
        <v>573</v>
      </c>
      <c r="D2573" s="2" t="str">
        <f t="shared" si="39"/>
        <v>Error?</v>
      </c>
    </row>
    <row r="2574" spans="1:4" x14ac:dyDescent="0.2">
      <c r="A2574" s="5">
        <v>2513</v>
      </c>
      <c r="B2574" s="138">
        <f>'Acct Summary 7-8'!D20</f>
        <v>88606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126451</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89046</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1368</v>
      </c>
      <c r="D2914" s="2" t="str">
        <f t="shared" si="44"/>
        <v>Error?</v>
      </c>
    </row>
    <row r="2915" spans="1:4" x14ac:dyDescent="0.2">
      <c r="A2915" s="10">
        <v>2854</v>
      </c>
      <c r="D2915" s="2" t="str">
        <f t="shared" si="44"/>
        <v>OK</v>
      </c>
    </row>
    <row r="2916" spans="1:4" x14ac:dyDescent="0.2">
      <c r="A2916" s="5">
        <v>2855</v>
      </c>
      <c r="B2916" s="138">
        <f>'Assets-Liab 5-6'!L34</f>
        <v>1368</v>
      </c>
      <c r="C2916" s="2" t="s">
        <v>573</v>
      </c>
      <c r="D2916" s="2" t="str">
        <f t="shared" si="44"/>
        <v>Error?</v>
      </c>
    </row>
    <row r="2917" spans="1:4" x14ac:dyDescent="0.2">
      <c r="A2917" s="5">
        <v>2856</v>
      </c>
      <c r="B2917" s="138">
        <f>'Assets-Liab 5-6'!L41</f>
        <v>1368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86281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277294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86281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277294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221597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88606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237876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54106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309568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882805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37644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161598</v>
      </c>
      <c r="D3451" s="2" t="str">
        <f t="shared" si="52"/>
        <v>Error?</v>
      </c>
    </row>
    <row r="3452" spans="1:4" x14ac:dyDescent="0.2">
      <c r="A3452" s="5">
        <v>3391</v>
      </c>
      <c r="B3452" s="138">
        <f>'Cap Outlay Deprec 26'!D15</f>
        <v>86325</v>
      </c>
      <c r="D3452" s="2" t="str">
        <f t="shared" si="52"/>
        <v>Error?</v>
      </c>
    </row>
    <row r="3453" spans="1:4" x14ac:dyDescent="0.2">
      <c r="A3453" s="5">
        <v>3392</v>
      </c>
      <c r="B3453" s="138">
        <f>'Cap Outlay Deprec 26'!E15</f>
        <v>247923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599307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3274909</v>
      </c>
      <c r="C4122" s="2" t="s">
        <v>573</v>
      </c>
      <c r="D4122" s="2" t="str">
        <f t="shared" si="63"/>
        <v>Error?</v>
      </c>
    </row>
    <row r="4123" spans="1:4" x14ac:dyDescent="0.2">
      <c r="A4123" s="5">
        <v>4062</v>
      </c>
      <c r="B4123" s="138">
        <f>'Acct Summary 7-8'!D10</f>
        <v>179629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599307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3053312</v>
      </c>
      <c r="C4136" s="2" t="s">
        <v>573</v>
      </c>
      <c r="D4136" s="2" t="str">
        <f t="shared" si="63"/>
        <v>Error?</v>
      </c>
    </row>
    <row r="4137" spans="1:4" x14ac:dyDescent="0.2">
      <c r="A4137" s="5">
        <v>4076</v>
      </c>
      <c r="B4137" s="138">
        <f>'Acct Summary 7-8'!D19</f>
        <v>91023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800008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57823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219196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86163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964294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964294</v>
      </c>
      <c r="C5087" s="2" t="s">
        <v>573</v>
      </c>
      <c r="D5087" s="2" t="str">
        <f t="shared" si="78"/>
        <v>Error?</v>
      </c>
    </row>
    <row r="5088" spans="1:4" x14ac:dyDescent="0.2">
      <c r="A5088" s="5">
        <v>5027</v>
      </c>
      <c r="B5088" s="138">
        <f>'Revenues 9-14'!C65</f>
        <v>11338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11338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7282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1330</v>
      </c>
      <c r="D5119" s="2" t="str">
        <f t="shared" ref="D5119:D5182" si="79">IF(ISBLANK(B5119),"OK",IF(A5119-B5119=0,"OK","Error?"))</f>
        <v>Error?</v>
      </c>
    </row>
    <row r="5120" spans="1:4" x14ac:dyDescent="0.2">
      <c r="A5120" s="5">
        <v>5059</v>
      </c>
      <c r="B5120" s="138">
        <f>'Revenues 9-14'!C108</f>
        <v>8612</v>
      </c>
      <c r="C5120" s="2" t="s">
        <v>573</v>
      </c>
      <c r="D5120" s="2" t="str">
        <f t="shared" si="79"/>
        <v>Error?</v>
      </c>
    </row>
    <row r="5121" spans="1:4" x14ac:dyDescent="0.2">
      <c r="A5121" s="5">
        <v>5060</v>
      </c>
      <c r="B5121" s="138">
        <f>'Revenues 9-14'!C109</f>
        <v>984244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210926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210926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326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86489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297415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10119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6388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16507</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34513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1065904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1100417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1393943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1393943</v>
      </c>
      <c r="C5326" s="2" t="s">
        <v>573</v>
      </c>
      <c r="D5326" s="2" t="str">
        <f t="shared" si="82"/>
        <v>Error?</v>
      </c>
    </row>
    <row r="5327" spans="1:5" x14ac:dyDescent="0.2">
      <c r="A5327" s="5">
        <v>5266</v>
      </c>
      <c r="B5327" s="138">
        <f>'Revenues 9-14'!C268</f>
        <v>2675602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3140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3140</v>
      </c>
      <c r="C5355" s="2" t="s">
        <v>573</v>
      </c>
      <c r="D5355" s="2" t="str">
        <f t="shared" si="82"/>
        <v>Error?</v>
      </c>
    </row>
    <row r="5356" spans="1:4" x14ac:dyDescent="0.2">
      <c r="A5356" s="5">
        <v>5295</v>
      </c>
      <c r="B5356" s="138">
        <f>'Revenues 9-14'!D109</f>
        <v>3140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176489</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176489</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176489</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176489</v>
      </c>
      <c r="C5507" s="2" t="s">
        <v>573</v>
      </c>
      <c r="D5507" s="2" t="str">
        <f t="shared" si="85"/>
        <v>Error?</v>
      </c>
    </row>
    <row r="5508" spans="1:4" x14ac:dyDescent="0.2">
      <c r="A5508" s="5">
        <v>5447</v>
      </c>
      <c r="B5508" s="138">
        <f>'Revenues 9-14'!D268</f>
        <v>179629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221597</v>
      </c>
      <c r="D6267" s="2" t="str">
        <f t="shared" si="96"/>
        <v>Error?</v>
      </c>
      <c r="E6267" s="2" t="s">
        <v>190</v>
      </c>
    </row>
    <row r="6268" spans="1:5" x14ac:dyDescent="0.2">
      <c r="A6268">
        <v>6207</v>
      </c>
      <c r="B6268" s="138">
        <f>'Acct Summary 7-8'!D82</f>
        <v>88606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0.29067086063874997</v>
      </c>
      <c r="D6276" s="2" t="str">
        <f t="shared" si="97"/>
        <v>Error?</v>
      </c>
      <c r="E6276" s="2" t="s">
        <v>190</v>
      </c>
    </row>
    <row r="6277" spans="1:5" x14ac:dyDescent="0.2">
      <c r="A6277">
        <v>6216</v>
      </c>
      <c r="B6277" s="138">
        <f>'Acct Summary 7-8'!D83</f>
        <v>2.353788120284773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247923</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247923</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11363</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11363</v>
      </c>
      <c r="D7613" s="2" t="str">
        <f t="shared" si="122"/>
        <v>Error?</v>
      </c>
      <c r="E7613" s="2" t="s">
        <v>19</v>
      </c>
    </row>
    <row r="7614" spans="1:5" x14ac:dyDescent="0.2">
      <c r="A7614">
        <f t="shared" si="123"/>
        <v>7553</v>
      </c>
      <c r="B7614" s="138">
        <f>'Cap Outlay Deprec 26'!L9</f>
        <v>236560</v>
      </c>
      <c r="D7614" s="2" t="str">
        <f t="shared" si="122"/>
        <v>Error?</v>
      </c>
      <c r="E7614" s="2" t="s">
        <v>19</v>
      </c>
    </row>
    <row r="7615" spans="1:5" x14ac:dyDescent="0.2">
      <c r="A7615">
        <f t="shared" si="123"/>
        <v>7554</v>
      </c>
      <c r="B7615" s="138">
        <f>'Cap Outlay Deprec 26'!C14</f>
        <v>6091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6091</v>
      </c>
      <c r="D7618" s="2" t="str">
        <f t="shared" si="124"/>
        <v>Error?</v>
      </c>
      <c r="E7618" s="2" t="s">
        <v>19</v>
      </c>
    </row>
    <row r="7619" spans="1:5" x14ac:dyDescent="0.2">
      <c r="A7619">
        <f t="shared" si="123"/>
        <v>7558</v>
      </c>
      <c r="B7619" s="138">
        <f>'Cap Outlay Deprec 26'!H14</f>
        <v>6091</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6091</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43189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AC59"/>
  <sheetViews>
    <sheetView showGridLines="0" showZeros="0" topLeftCell="A31"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0" t="str">
        <f>COVER!A17</f>
        <v xml:space="preserve">JAMP Spec Educ Services </v>
      </c>
      <c r="B7" s="2411"/>
      <c r="C7" s="2411"/>
      <c r="D7" s="2412"/>
      <c r="E7" s="2413">
        <f>COVER!A13</f>
        <v>30077801060</v>
      </c>
      <c r="F7" s="2414"/>
      <c r="G7" s="2420" t="str">
        <f>COVER!T23</f>
        <v>066-003889</v>
      </c>
      <c r="H7" s="2421"/>
      <c r="I7" s="2421"/>
      <c r="J7" s="2421"/>
      <c r="K7" s="2421"/>
      <c r="L7" s="242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3"/>
      <c r="B9" s="2424"/>
      <c r="C9" s="2424"/>
      <c r="D9" s="2424"/>
      <c r="E9" s="2424"/>
      <c r="F9" s="2425"/>
      <c r="G9" s="2394" t="str">
        <f>COVER!T13</f>
        <v>Beussink, Hey, Roe &amp; Stroder, LLC</v>
      </c>
      <c r="H9" s="2426"/>
      <c r="I9" s="2426"/>
      <c r="J9" s="2426"/>
      <c r="K9" s="2426"/>
      <c r="L9" s="2427"/>
    </row>
    <row r="10" spans="1:29" ht="13.5" customHeight="1" x14ac:dyDescent="0.2">
      <c r="A10" s="2400">
        <f>COVER!A38</f>
        <v>0</v>
      </c>
      <c r="B10" s="2401"/>
      <c r="C10" s="2401"/>
      <c r="D10" s="2401"/>
      <c r="E10" s="2401"/>
      <c r="F10" s="2402"/>
      <c r="G10" s="2394" t="str">
        <f>COVER!T17</f>
        <v>16 S. Silver Springs Road</v>
      </c>
      <c r="H10" s="2395"/>
      <c r="I10" s="2395"/>
      <c r="J10" s="2395"/>
      <c r="K10" s="2395"/>
      <c r="L10" s="2396"/>
    </row>
    <row r="11" spans="1:29" ht="13.5" customHeight="1" x14ac:dyDescent="0.2">
      <c r="A11" s="1184" t="s">
        <v>1519</v>
      </c>
      <c r="B11" s="1185"/>
      <c r="C11" s="1186"/>
      <c r="D11" s="1191"/>
      <c r="E11" s="1186"/>
      <c r="F11" s="1190"/>
      <c r="G11" s="2394" t="str">
        <f>COVER!T19</f>
        <v>Cape Girardeau</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jstroder@bhrcpas.com</v>
      </c>
      <c r="J13" s="2407"/>
      <c r="K13" s="2407"/>
      <c r="L13" s="2408"/>
    </row>
    <row r="14" spans="1:29" ht="13.5" customHeight="1" x14ac:dyDescent="0.2">
      <c r="A14" s="2394" t="str">
        <f>COVER!A19</f>
        <v>PO Box 107</v>
      </c>
      <c r="B14" s="2395"/>
      <c r="C14" s="2395"/>
      <c r="D14" s="2395"/>
      <c r="E14" s="2395"/>
      <c r="F14" s="2396"/>
      <c r="G14" s="1195" t="s">
        <v>1185</v>
      </c>
      <c r="H14" s="1193"/>
      <c r="I14" s="1193"/>
      <c r="J14" s="1193"/>
      <c r="K14" s="1193"/>
      <c r="L14" s="1194"/>
    </row>
    <row r="15" spans="1:29" ht="13.5" customHeight="1" x14ac:dyDescent="0.2">
      <c r="A15" s="2394" t="str">
        <f>COVER!A21</f>
        <v>Grand Chain</v>
      </c>
      <c r="B15" s="2395"/>
      <c r="C15" s="2395"/>
      <c r="D15" s="2395"/>
      <c r="E15" s="2395"/>
      <c r="F15" s="2396"/>
      <c r="G15" s="2391" t="str">
        <f>COVER!T15</f>
        <v>Jeffrey C. Stroder, CPA</v>
      </c>
      <c r="H15" s="2392"/>
      <c r="I15" s="2392"/>
      <c r="J15" s="2392"/>
      <c r="K15" s="2392"/>
      <c r="L15" s="2393"/>
    </row>
    <row r="16" spans="1:29" ht="12.2" customHeight="1" x14ac:dyDescent="0.2">
      <c r="A16" s="2416">
        <f>COVER!A25</f>
        <v>62970</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1184</v>
      </c>
      <c r="H17" s="1193"/>
      <c r="I17" s="1193"/>
      <c r="J17" s="1193"/>
      <c r="K17" s="1197" t="s">
        <v>1183</v>
      </c>
      <c r="L17" s="1190"/>
      <c r="M17" s="1183"/>
    </row>
    <row r="18" spans="1:13" ht="12.2" customHeight="1" x14ac:dyDescent="0.2">
      <c r="A18" s="2400"/>
      <c r="B18" s="2401"/>
      <c r="C18" s="2401"/>
      <c r="D18" s="2401"/>
      <c r="E18" s="2401"/>
      <c r="F18" s="2402"/>
      <c r="G18" s="2410" t="str">
        <f>COVER!T21</f>
        <v>573-334-7971</v>
      </c>
      <c r="H18" s="2411"/>
      <c r="I18" s="2411"/>
      <c r="J18" s="2411"/>
      <c r="K18" s="2410" t="str">
        <f>COVER!X21</f>
        <v>573-334-8875</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K127"/>
  <sheetViews>
    <sheetView showGridLines="0" topLeftCell="A12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 xml:space="preserve">JAMP Spec Educ Services </v>
      </c>
      <c r="B1" s="2409"/>
      <c r="C1" s="2409"/>
      <c r="D1" s="2409"/>
    </row>
    <row r="2" spans="1:11" s="1212" customFormat="1" ht="12.75" x14ac:dyDescent="0.2">
      <c r="A2" s="2433">
        <f>'Single Audit Cover'!E7</f>
        <v>30077801060</v>
      </c>
      <c r="B2" s="2434"/>
      <c r="C2" s="2434"/>
      <c r="D2" s="2434"/>
    </row>
    <row r="3" spans="1:11" s="1212" customFormat="1" ht="12.75" x14ac:dyDescent="0.2">
      <c r="A3" s="2432" t="s">
        <v>1513</v>
      </c>
      <c r="B3" s="2409"/>
      <c r="C3" s="2409"/>
      <c r="D3" s="240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topLeftCell="A4" zoomScale="110" zoomScaleNormal="110" zoomScaleSheetLayoutView="100" workbookViewId="0">
      <selection activeCell="J20" sqref="J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 xml:space="preserve">JAMP Spec Educ Services </v>
      </c>
      <c r="B1" s="2436"/>
      <c r="C1" s="2436"/>
      <c r="D1" s="2436"/>
      <c r="E1" s="2436"/>
    </row>
    <row r="2" spans="1:5" x14ac:dyDescent="0.2">
      <c r="A2" s="2437">
        <f>'Single Audit Cover'!E7</f>
        <v>30077801060</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1570432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-219196</v>
      </c>
    </row>
    <row r="19" spans="1:4" ht="13.5" thickBot="1" x14ac:dyDescent="0.25">
      <c r="A19" s="1262" t="s">
        <v>1235</v>
      </c>
      <c r="D19" s="1263">
        <f>SUM(D10:D17)</f>
        <v>1351236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1351236</v>
      </c>
    </row>
    <row r="33" spans="1:4" x14ac:dyDescent="0.2">
      <c r="D33" s="1266"/>
    </row>
    <row r="34" spans="1:4" x14ac:dyDescent="0.2">
      <c r="A34" s="317" t="s">
        <v>1232</v>
      </c>
    </row>
    <row r="35" spans="1:4" x14ac:dyDescent="0.2">
      <c r="A35" s="317" t="s">
        <v>1231</v>
      </c>
      <c r="B35" s="1255" t="s">
        <v>1230</v>
      </c>
      <c r="D35" s="1267">
        <v>1351236</v>
      </c>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1351236</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52"/>
  <sheetViews>
    <sheetView showGridLines="0" topLeftCell="A8" zoomScaleNormal="100" workbookViewId="0">
      <selection activeCell="H18" sqref="H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 xml:space="preserve">JAMP Spec Educ Services </v>
      </c>
      <c r="C1" s="2440"/>
      <c r="D1" s="2440"/>
      <c r="E1" s="2440"/>
      <c r="F1" s="2440"/>
      <c r="G1" s="2440"/>
      <c r="H1" s="2440"/>
      <c r="I1" s="2440"/>
      <c r="J1" s="2440"/>
      <c r="K1" s="2440"/>
      <c r="L1" s="2440"/>
      <c r="M1" s="2440"/>
    </row>
    <row r="2" spans="2:14" ht="15" x14ac:dyDescent="0.2">
      <c r="B2" s="2441">
        <f>'Single Audit Cover'!E7</f>
        <v>30077801060</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c r="M11" s="1337"/>
    </row>
    <row r="12" spans="2:14" ht="20.100000000000001" customHeight="1" x14ac:dyDescent="0.2">
      <c r="B12" s="1334" t="s">
        <v>2088</v>
      </c>
      <c r="C12" s="1338"/>
      <c r="D12" s="1339"/>
      <c r="E12" s="1340"/>
      <c r="F12" s="1340"/>
      <c r="G12" s="1340"/>
      <c r="H12" s="1340"/>
      <c r="I12" s="1340"/>
      <c r="J12" s="1340"/>
      <c r="K12" s="1340"/>
      <c r="L12" s="1337"/>
      <c r="M12" s="1340"/>
    </row>
    <row r="13" spans="2:14" ht="20.100000000000001" customHeight="1" x14ac:dyDescent="0.2">
      <c r="B13" s="1334" t="s">
        <v>2089</v>
      </c>
      <c r="C13" s="1338">
        <v>10.553000000000001</v>
      </c>
      <c r="D13" s="1339" t="s">
        <v>2109</v>
      </c>
      <c r="E13" s="1340">
        <v>3444</v>
      </c>
      <c r="F13" s="1340">
        <v>1226</v>
      </c>
      <c r="G13" s="1340">
        <v>3444</v>
      </c>
      <c r="H13" s="1340">
        <v>3444</v>
      </c>
      <c r="I13" s="1340">
        <v>1226</v>
      </c>
      <c r="J13" s="1340">
        <v>1226</v>
      </c>
      <c r="K13" s="1340"/>
      <c r="L13" s="1337">
        <f t="shared" ref="L13:L19" si="0">+G13+I13+K13</f>
        <v>4670</v>
      </c>
      <c r="M13" s="1340"/>
    </row>
    <row r="14" spans="2:14" ht="20.100000000000001" customHeight="1" x14ac:dyDescent="0.2">
      <c r="B14" s="1334" t="s">
        <v>2089</v>
      </c>
      <c r="C14" s="1338">
        <v>10.553000000000001</v>
      </c>
      <c r="D14" s="1339" t="s">
        <v>2110</v>
      </c>
      <c r="E14" s="1340"/>
      <c r="F14" s="1340">
        <v>5162</v>
      </c>
      <c r="G14" s="1340"/>
      <c r="H14" s="1340"/>
      <c r="I14" s="1340">
        <v>5162</v>
      </c>
      <c r="J14" s="1340">
        <v>5162</v>
      </c>
      <c r="K14" s="1340"/>
      <c r="L14" s="1337">
        <f t="shared" si="0"/>
        <v>5162</v>
      </c>
      <c r="M14" s="1340"/>
    </row>
    <row r="15" spans="2:14" ht="20.100000000000001" customHeight="1" x14ac:dyDescent="0.2">
      <c r="B15" s="1334" t="s">
        <v>2090</v>
      </c>
      <c r="C15" s="1338"/>
      <c r="D15" s="1339"/>
      <c r="E15" s="1340">
        <f>E13+E14</f>
        <v>3444</v>
      </c>
      <c r="F15" s="1340">
        <f t="shared" ref="F15:M15" si="1">F13+F14</f>
        <v>6388</v>
      </c>
      <c r="G15" s="1340">
        <f t="shared" si="1"/>
        <v>3444</v>
      </c>
      <c r="H15" s="1340">
        <f t="shared" si="1"/>
        <v>3444</v>
      </c>
      <c r="I15" s="1340">
        <f t="shared" si="1"/>
        <v>6388</v>
      </c>
      <c r="J15" s="1340">
        <f t="shared" si="1"/>
        <v>6388</v>
      </c>
      <c r="K15" s="1340">
        <f t="shared" si="1"/>
        <v>0</v>
      </c>
      <c r="L15" s="1340">
        <f t="shared" si="1"/>
        <v>9832</v>
      </c>
      <c r="M15" s="1340">
        <f t="shared" si="1"/>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2088</v>
      </c>
      <c r="C17" s="1338"/>
      <c r="D17" s="1339"/>
      <c r="E17" s="1340"/>
      <c r="F17" s="1340"/>
      <c r="G17" s="1340"/>
      <c r="H17" s="1340"/>
      <c r="I17" s="1340"/>
      <c r="J17" s="1340"/>
      <c r="K17" s="1340"/>
      <c r="L17" s="1337"/>
      <c r="M17" s="1340"/>
    </row>
    <row r="18" spans="2:14" ht="20.100000000000001" customHeight="1" x14ac:dyDescent="0.2">
      <c r="B18" s="1334" t="s">
        <v>2091</v>
      </c>
      <c r="C18" s="1338">
        <v>10.555</v>
      </c>
      <c r="D18" s="1339" t="s">
        <v>2111</v>
      </c>
      <c r="E18" s="1340">
        <v>5455</v>
      </c>
      <c r="F18" s="1340">
        <v>1942</v>
      </c>
      <c r="G18" s="1340">
        <v>5455</v>
      </c>
      <c r="H18" s="1340">
        <v>5455</v>
      </c>
      <c r="I18" s="1340">
        <v>1942</v>
      </c>
      <c r="J18" s="1340">
        <v>1942</v>
      </c>
      <c r="K18" s="1340"/>
      <c r="L18" s="1337">
        <f t="shared" si="0"/>
        <v>7397</v>
      </c>
      <c r="M18" s="1340"/>
    </row>
    <row r="19" spans="2:14" ht="20.100000000000001" customHeight="1" x14ac:dyDescent="0.2">
      <c r="B19" s="1334" t="s">
        <v>2091</v>
      </c>
      <c r="C19" s="1338">
        <v>10.555</v>
      </c>
      <c r="D19" s="1339" t="s">
        <v>2112</v>
      </c>
      <c r="E19" s="1340"/>
      <c r="F19" s="1340">
        <v>8177</v>
      </c>
      <c r="G19" s="1340"/>
      <c r="H19" s="1340"/>
      <c r="I19" s="1340">
        <v>8177</v>
      </c>
      <c r="J19" s="1340">
        <v>8177</v>
      </c>
      <c r="K19" s="1340"/>
      <c r="L19" s="1337">
        <f t="shared" si="0"/>
        <v>8177</v>
      </c>
      <c r="M19" s="1340"/>
    </row>
    <row r="20" spans="2:14" ht="20.100000000000001" customHeight="1" x14ac:dyDescent="0.2">
      <c r="B20" s="1334" t="s">
        <v>2092</v>
      </c>
      <c r="C20" s="1338"/>
      <c r="D20" s="1339"/>
      <c r="E20" s="1340">
        <f>E18+E19</f>
        <v>5455</v>
      </c>
      <c r="F20" s="1340">
        <f t="shared" ref="F20:M20" si="2">F18+F19</f>
        <v>10119</v>
      </c>
      <c r="G20" s="1340">
        <f t="shared" si="2"/>
        <v>5455</v>
      </c>
      <c r="H20" s="1340">
        <f t="shared" si="2"/>
        <v>5455</v>
      </c>
      <c r="I20" s="1340">
        <f t="shared" si="2"/>
        <v>10119</v>
      </c>
      <c r="J20" s="1340">
        <f t="shared" si="2"/>
        <v>10119</v>
      </c>
      <c r="K20" s="1340">
        <f t="shared" si="2"/>
        <v>0</v>
      </c>
      <c r="L20" s="1340">
        <f t="shared" si="2"/>
        <v>15574</v>
      </c>
      <c r="M20" s="1340">
        <f t="shared" si="2"/>
        <v>0</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2093</v>
      </c>
      <c r="C22" s="1338"/>
      <c r="D22" s="1339"/>
      <c r="E22" s="1340">
        <f>E15+E20</f>
        <v>8899</v>
      </c>
      <c r="F22" s="1340">
        <f t="shared" ref="F22:M22" si="3">F15+F20</f>
        <v>16507</v>
      </c>
      <c r="G22" s="1340">
        <f t="shared" si="3"/>
        <v>8899</v>
      </c>
      <c r="H22" s="1340">
        <f t="shared" si="3"/>
        <v>8899</v>
      </c>
      <c r="I22" s="1340">
        <f t="shared" si="3"/>
        <v>16507</v>
      </c>
      <c r="J22" s="1340">
        <f t="shared" si="3"/>
        <v>16507</v>
      </c>
      <c r="K22" s="1340">
        <f t="shared" si="3"/>
        <v>0</v>
      </c>
      <c r="L22" s="1340">
        <f t="shared" si="3"/>
        <v>25406</v>
      </c>
      <c r="M22" s="1340">
        <f t="shared" si="3"/>
        <v>0</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2094</v>
      </c>
      <c r="C24" s="1338"/>
      <c r="D24" s="1339"/>
      <c r="E24" s="1340">
        <f>E22</f>
        <v>8899</v>
      </c>
      <c r="F24" s="1340">
        <f t="shared" ref="F24:M24" si="4">F22</f>
        <v>16507</v>
      </c>
      <c r="G24" s="1340">
        <f t="shared" si="4"/>
        <v>8899</v>
      </c>
      <c r="H24" s="1340">
        <f t="shared" si="4"/>
        <v>8899</v>
      </c>
      <c r="I24" s="1340">
        <f t="shared" si="4"/>
        <v>16507</v>
      </c>
      <c r="J24" s="1340">
        <f t="shared" si="4"/>
        <v>16507</v>
      </c>
      <c r="K24" s="1340">
        <f t="shared" si="4"/>
        <v>0</v>
      </c>
      <c r="L24" s="1340">
        <f t="shared" si="4"/>
        <v>25406</v>
      </c>
      <c r="M24" s="1340">
        <f t="shared" si="4"/>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D0555-9809-44C7-BA88-8FE3B359A709}">
  <sheetPr>
    <tabColor rgb="FFFFFF00"/>
  </sheetPr>
  <dimension ref="B1:N152"/>
  <sheetViews>
    <sheetView showGridLines="0" topLeftCell="A4" zoomScaleNormal="100" workbookViewId="0">
      <selection activeCell="J15" sqref="J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 xml:space="preserve">JAMP Spec Educ Services </v>
      </c>
      <c r="C1" s="2440"/>
      <c r="D1" s="2440"/>
      <c r="E1" s="2440"/>
      <c r="F1" s="2440"/>
      <c r="G1" s="2440"/>
      <c r="H1" s="2440"/>
      <c r="I1" s="2440"/>
      <c r="J1" s="2440"/>
      <c r="K1" s="2440"/>
      <c r="L1" s="2440"/>
      <c r="M1" s="2440"/>
    </row>
    <row r="2" spans="2:14" ht="15" x14ac:dyDescent="0.2">
      <c r="B2" s="2441">
        <f>'Single Audit Cover'!E7</f>
        <v>30077801060</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2095</v>
      </c>
      <c r="C11" s="1335"/>
      <c r="D11" s="1336"/>
      <c r="E11" s="1337"/>
      <c r="F11" s="1337"/>
      <c r="G11" s="1337"/>
      <c r="H11" s="1337"/>
      <c r="I11" s="1337"/>
      <c r="J11" s="1337"/>
      <c r="K11" s="1337"/>
      <c r="L11" s="1337"/>
      <c r="M11" s="1337"/>
    </row>
    <row r="12" spans="2:14" ht="20.100000000000001" customHeight="1" x14ac:dyDescent="0.2">
      <c r="B12" s="1334" t="s">
        <v>2088</v>
      </c>
      <c r="C12" s="1338"/>
      <c r="D12" s="1339"/>
      <c r="E12" s="1340"/>
      <c r="F12" s="1340"/>
      <c r="G12" s="1340"/>
      <c r="H12" s="1340"/>
      <c r="I12" s="1340"/>
      <c r="J12" s="1340"/>
      <c r="K12" s="1340"/>
      <c r="L12" s="1337"/>
      <c r="M12" s="1340"/>
    </row>
    <row r="13" spans="2:14" ht="20.100000000000001" customHeight="1" x14ac:dyDescent="0.2">
      <c r="B13" s="1334" t="s">
        <v>2096</v>
      </c>
      <c r="C13" s="1338">
        <v>84.027000000000001</v>
      </c>
      <c r="D13" s="1339" t="s">
        <v>2113</v>
      </c>
      <c r="E13" s="1340">
        <v>1008469</v>
      </c>
      <c r="F13" s="1340">
        <v>366674</v>
      </c>
      <c r="G13" s="1340">
        <v>1269779</v>
      </c>
      <c r="H13" s="1340">
        <v>174305</v>
      </c>
      <c r="I13" s="1340">
        <v>105364</v>
      </c>
      <c r="J13" s="1340">
        <v>1491</v>
      </c>
      <c r="K13" s="1340"/>
      <c r="L13" s="1337">
        <f t="shared" ref="L13:L19" si="0">+G13+I13+K13</f>
        <v>1375143</v>
      </c>
      <c r="M13" s="1340">
        <v>1489361</v>
      </c>
    </row>
    <row r="14" spans="2:14" ht="20.100000000000001" customHeight="1" x14ac:dyDescent="0.2">
      <c r="B14" s="1334" t="s">
        <v>2096</v>
      </c>
      <c r="C14" s="1338">
        <v>84.027000000000001</v>
      </c>
      <c r="D14" s="1339" t="s">
        <v>2114</v>
      </c>
      <c r="E14" s="1340"/>
      <c r="F14" s="1340">
        <v>875719</v>
      </c>
      <c r="G14" s="1340"/>
      <c r="H14" s="1340"/>
      <c r="I14" s="1340">
        <v>995382</v>
      </c>
      <c r="J14" s="1340">
        <v>84789</v>
      </c>
      <c r="K14" s="1340">
        <v>45928</v>
      </c>
      <c r="L14" s="1337">
        <f t="shared" si="0"/>
        <v>1041310</v>
      </c>
      <c r="M14" s="1340">
        <v>1112148</v>
      </c>
    </row>
    <row r="15" spans="2:14" ht="20.100000000000001" customHeight="1" x14ac:dyDescent="0.2">
      <c r="B15" s="1334" t="s">
        <v>2097</v>
      </c>
      <c r="C15" s="1338"/>
      <c r="D15" s="1339"/>
      <c r="E15" s="1340">
        <f>E13+E14</f>
        <v>1008469</v>
      </c>
      <c r="F15" s="1340">
        <f t="shared" ref="F15:M15" si="1">F13+F14</f>
        <v>1242393</v>
      </c>
      <c r="G15" s="1340">
        <f t="shared" si="1"/>
        <v>1269779</v>
      </c>
      <c r="H15" s="1340">
        <f t="shared" si="1"/>
        <v>174305</v>
      </c>
      <c r="I15" s="1340">
        <f t="shared" si="1"/>
        <v>1100746</v>
      </c>
      <c r="J15" s="1340">
        <f t="shared" si="1"/>
        <v>86280</v>
      </c>
      <c r="K15" s="1340">
        <f t="shared" si="1"/>
        <v>45928</v>
      </c>
      <c r="L15" s="1340">
        <f t="shared" si="1"/>
        <v>2416453</v>
      </c>
      <c r="M15" s="1340">
        <f t="shared" si="1"/>
        <v>2601509</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2088</v>
      </c>
      <c r="C17" s="1338"/>
      <c r="D17" s="1339"/>
      <c r="E17" s="1340"/>
      <c r="F17" s="1340"/>
      <c r="G17" s="1340"/>
      <c r="H17" s="1340"/>
      <c r="I17" s="1340"/>
      <c r="J17" s="1340"/>
      <c r="K17" s="1340"/>
      <c r="L17" s="1337"/>
      <c r="M17" s="1340"/>
    </row>
    <row r="18" spans="2:14" ht="20.100000000000001" customHeight="1" x14ac:dyDescent="0.2">
      <c r="B18" s="1334" t="s">
        <v>2098</v>
      </c>
      <c r="C18" s="1338">
        <v>84.173000000000002</v>
      </c>
      <c r="D18" s="1339" t="s">
        <v>2115</v>
      </c>
      <c r="E18" s="1340">
        <v>47569</v>
      </c>
      <c r="F18" s="1340">
        <v>7201</v>
      </c>
      <c r="G18" s="1340">
        <v>54770</v>
      </c>
      <c r="H18" s="1340"/>
      <c r="I18" s="1340"/>
      <c r="J18" s="1340"/>
      <c r="K18" s="1340"/>
      <c r="L18" s="1337">
        <f t="shared" si="0"/>
        <v>54770</v>
      </c>
      <c r="M18" s="1340">
        <v>54770</v>
      </c>
    </row>
    <row r="19" spans="2:14" ht="20.100000000000001" customHeight="1" x14ac:dyDescent="0.2">
      <c r="B19" s="1334" t="s">
        <v>2098</v>
      </c>
      <c r="C19" s="1338">
        <v>84.173000000000002</v>
      </c>
      <c r="D19" s="1339" t="s">
        <v>2116</v>
      </c>
      <c r="E19" s="1340"/>
      <c r="F19" s="1340">
        <v>27312</v>
      </c>
      <c r="G19" s="1340"/>
      <c r="H19" s="1340"/>
      <c r="I19" s="1340">
        <v>33922</v>
      </c>
      <c r="J19" s="1340"/>
      <c r="K19" s="1340"/>
      <c r="L19" s="1337">
        <f t="shared" si="0"/>
        <v>33922</v>
      </c>
      <c r="M19" s="1340">
        <v>39922</v>
      </c>
    </row>
    <row r="20" spans="2:14" ht="20.100000000000001" customHeight="1" x14ac:dyDescent="0.2">
      <c r="B20" s="1334" t="s">
        <v>2099</v>
      </c>
      <c r="C20" s="1338"/>
      <c r="D20" s="1339"/>
      <c r="E20" s="1340">
        <f>E18+E19</f>
        <v>47569</v>
      </c>
      <c r="F20" s="1340">
        <f t="shared" ref="F20:M20" si="2">F18+F19</f>
        <v>34513</v>
      </c>
      <c r="G20" s="1340">
        <f t="shared" si="2"/>
        <v>54770</v>
      </c>
      <c r="H20" s="1340">
        <f t="shared" si="2"/>
        <v>0</v>
      </c>
      <c r="I20" s="1340">
        <f t="shared" si="2"/>
        <v>33922</v>
      </c>
      <c r="J20" s="1340">
        <f t="shared" si="2"/>
        <v>0</v>
      </c>
      <c r="K20" s="1340">
        <f t="shared" si="2"/>
        <v>0</v>
      </c>
      <c r="L20" s="1340">
        <f t="shared" si="2"/>
        <v>88692</v>
      </c>
      <c r="M20" s="1340">
        <f t="shared" si="2"/>
        <v>94692</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2100</v>
      </c>
      <c r="C22" s="1338"/>
      <c r="D22" s="1339"/>
      <c r="E22" s="1340">
        <f>E15+E20</f>
        <v>1056038</v>
      </c>
      <c r="F22" s="1340">
        <f t="shared" ref="F22:M22" si="3">F15+F20</f>
        <v>1276906</v>
      </c>
      <c r="G22" s="1340">
        <f t="shared" si="3"/>
        <v>1324549</v>
      </c>
      <c r="H22" s="1340">
        <f t="shared" si="3"/>
        <v>174305</v>
      </c>
      <c r="I22" s="1340">
        <f t="shared" si="3"/>
        <v>1134668</v>
      </c>
      <c r="J22" s="1340">
        <f t="shared" si="3"/>
        <v>86280</v>
      </c>
      <c r="K22" s="1340">
        <f t="shared" si="3"/>
        <v>45928</v>
      </c>
      <c r="L22" s="1340">
        <f t="shared" si="3"/>
        <v>2505145</v>
      </c>
      <c r="M22" s="1340">
        <f t="shared" si="3"/>
        <v>2696201</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2101</v>
      </c>
      <c r="C24" s="1338"/>
      <c r="D24" s="1339"/>
      <c r="E24" s="1340">
        <f>E22</f>
        <v>1056038</v>
      </c>
      <c r="F24" s="1340">
        <f t="shared" ref="F24:M24" si="4">F22</f>
        <v>1276906</v>
      </c>
      <c r="G24" s="1340">
        <f t="shared" si="4"/>
        <v>1324549</v>
      </c>
      <c r="H24" s="1340">
        <f t="shared" si="4"/>
        <v>174305</v>
      </c>
      <c r="I24" s="1340">
        <f t="shared" si="4"/>
        <v>1134668</v>
      </c>
      <c r="J24" s="1340">
        <f t="shared" si="4"/>
        <v>86280</v>
      </c>
      <c r="K24" s="1340">
        <f t="shared" si="4"/>
        <v>45928</v>
      </c>
      <c r="L24" s="1340">
        <f t="shared" si="4"/>
        <v>2505145</v>
      </c>
      <c r="M24" s="1340">
        <f t="shared" si="4"/>
        <v>2696201</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77"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2076</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B1EC0-BD98-42C0-A1D3-C7A4157BB3A2}">
  <sheetPr>
    <tabColor rgb="FFFFFF00"/>
  </sheetPr>
  <dimension ref="B1:N152"/>
  <sheetViews>
    <sheetView showGridLines="0" topLeftCell="A3" zoomScaleNormal="100" workbookViewId="0">
      <selection activeCell="O15" sqref="O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 xml:space="preserve">JAMP Spec Educ Services </v>
      </c>
      <c r="C1" s="2440"/>
      <c r="D1" s="2440"/>
      <c r="E1" s="2440"/>
      <c r="F1" s="2440"/>
      <c r="G1" s="2440"/>
      <c r="H1" s="2440"/>
      <c r="I1" s="2440"/>
      <c r="J1" s="2440"/>
      <c r="K1" s="2440"/>
      <c r="L1" s="2440"/>
      <c r="M1" s="2440"/>
    </row>
    <row r="2" spans="2:14" ht="15" x14ac:dyDescent="0.2">
      <c r="B2" s="2441">
        <f>'Single Audit Cover'!E7</f>
        <v>30077801060</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c r="M11" s="1337"/>
    </row>
    <row r="12" spans="2:14" ht="20.100000000000001" customHeight="1" x14ac:dyDescent="0.2">
      <c r="B12" s="1334" t="s">
        <v>2103</v>
      </c>
      <c r="C12" s="1338"/>
      <c r="D12" s="1339"/>
      <c r="E12" s="1340"/>
      <c r="F12" s="1340"/>
      <c r="G12" s="1340"/>
      <c r="H12" s="1340"/>
      <c r="I12" s="1340"/>
      <c r="J12" s="1340"/>
      <c r="K12" s="1340"/>
      <c r="L12" s="1337"/>
      <c r="M12" s="1340"/>
    </row>
    <row r="13" spans="2:14" ht="20.100000000000001" customHeight="1" x14ac:dyDescent="0.2">
      <c r="B13" s="1334" t="s">
        <v>2104</v>
      </c>
      <c r="C13" s="1338">
        <v>93.778000000000006</v>
      </c>
      <c r="D13" s="1339" t="s">
        <v>2117</v>
      </c>
      <c r="E13" s="1340">
        <v>11825</v>
      </c>
      <c r="F13" s="1340"/>
      <c r="G13" s="1340">
        <v>19229</v>
      </c>
      <c r="H13" s="1340"/>
      <c r="I13" s="1340"/>
      <c r="J13" s="1340"/>
      <c r="K13" s="1340"/>
      <c r="L13" s="1337">
        <f t="shared" ref="L13:L17" si="0">+G13+I13+K13</f>
        <v>19229</v>
      </c>
      <c r="M13" s="1340"/>
    </row>
    <row r="14" spans="2:14" ht="20.100000000000001" customHeight="1" x14ac:dyDescent="0.2">
      <c r="B14" s="1334" t="s">
        <v>2104</v>
      </c>
      <c r="C14" s="1338">
        <v>93.778000000000006</v>
      </c>
      <c r="D14" s="1339" t="s">
        <v>2118</v>
      </c>
      <c r="E14" s="1340"/>
      <c r="F14" s="1340">
        <v>16558</v>
      </c>
      <c r="G14" s="1340"/>
      <c r="H14" s="1340"/>
      <c r="I14" s="1340">
        <v>17131</v>
      </c>
      <c r="J14" s="1340"/>
      <c r="K14" s="1340"/>
      <c r="L14" s="1337">
        <f t="shared" si="0"/>
        <v>17131</v>
      </c>
      <c r="M14" s="1340"/>
    </row>
    <row r="15" spans="2:14" ht="20.100000000000001" customHeight="1" x14ac:dyDescent="0.2">
      <c r="B15" s="1334" t="s">
        <v>2105</v>
      </c>
      <c r="C15" s="1338"/>
      <c r="D15" s="1339"/>
      <c r="E15" s="1340"/>
      <c r="F15" s="1340"/>
      <c r="G15" s="1340"/>
      <c r="H15" s="1340"/>
      <c r="I15" s="1340"/>
      <c r="J15" s="1340"/>
      <c r="K15" s="1340"/>
      <c r="L15" s="1337"/>
      <c r="M15" s="1340"/>
    </row>
    <row r="16" spans="2:14" ht="20.100000000000001" customHeight="1" x14ac:dyDescent="0.2">
      <c r="B16" s="1334" t="s">
        <v>2104</v>
      </c>
      <c r="C16" s="1338">
        <v>93.778000000000006</v>
      </c>
      <c r="D16" s="1339" t="s">
        <v>2117</v>
      </c>
      <c r="E16" s="1340">
        <v>45585</v>
      </c>
      <c r="F16" s="1340"/>
      <c r="G16" s="1340">
        <v>47483</v>
      </c>
      <c r="H16" s="1340">
        <v>47483</v>
      </c>
      <c r="I16" s="1340"/>
      <c r="J16" s="1340"/>
      <c r="K16" s="1340"/>
      <c r="L16" s="1337">
        <f t="shared" si="0"/>
        <v>47483</v>
      </c>
      <c r="M16" s="1340"/>
    </row>
    <row r="17" spans="2:14" ht="20.100000000000001" customHeight="1" x14ac:dyDescent="0.2">
      <c r="B17" s="1334" t="s">
        <v>2104</v>
      </c>
      <c r="C17" s="1338">
        <v>93.778000000000006</v>
      </c>
      <c r="D17" s="1339" t="s">
        <v>2118</v>
      </c>
      <c r="E17" s="1340"/>
      <c r="F17" s="1340">
        <v>41265</v>
      </c>
      <c r="G17" s="1340"/>
      <c r="H17" s="1340"/>
      <c r="I17" s="1340">
        <v>42984</v>
      </c>
      <c r="J17" s="1340">
        <v>42984</v>
      </c>
      <c r="K17" s="1340"/>
      <c r="L17" s="1337">
        <f t="shared" si="0"/>
        <v>42984</v>
      </c>
      <c r="M17" s="1340"/>
    </row>
    <row r="18" spans="2:14" ht="20.100000000000001" customHeight="1" x14ac:dyDescent="0.2">
      <c r="B18" s="1334" t="s">
        <v>2106</v>
      </c>
      <c r="C18" s="1338"/>
      <c r="D18" s="1339"/>
      <c r="E18" s="1340">
        <f>SUM(E13:E17)</f>
        <v>57410</v>
      </c>
      <c r="F18" s="1340">
        <f t="shared" ref="F18:M18" si="1">SUM(F13:F17)</f>
        <v>57823</v>
      </c>
      <c r="G18" s="1340">
        <f t="shared" si="1"/>
        <v>66712</v>
      </c>
      <c r="H18" s="1340">
        <f t="shared" si="1"/>
        <v>47483</v>
      </c>
      <c r="I18" s="1340">
        <f t="shared" si="1"/>
        <v>60115</v>
      </c>
      <c r="J18" s="1340">
        <f t="shared" si="1"/>
        <v>42984</v>
      </c>
      <c r="K18" s="1340">
        <f t="shared" si="1"/>
        <v>0</v>
      </c>
      <c r="L18" s="1340">
        <f t="shared" si="1"/>
        <v>126827</v>
      </c>
      <c r="M18" s="1340">
        <f t="shared" si="1"/>
        <v>0</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2107</v>
      </c>
      <c r="C20" s="1338"/>
      <c r="D20" s="1339"/>
      <c r="E20" s="1340">
        <f>E18</f>
        <v>57410</v>
      </c>
      <c r="F20" s="1340">
        <f t="shared" ref="F20:M20" si="2">F18</f>
        <v>57823</v>
      </c>
      <c r="G20" s="1340">
        <f t="shared" si="2"/>
        <v>66712</v>
      </c>
      <c r="H20" s="1340">
        <f t="shared" si="2"/>
        <v>47483</v>
      </c>
      <c r="I20" s="1340">
        <f t="shared" si="2"/>
        <v>60115</v>
      </c>
      <c r="J20" s="1340">
        <f t="shared" si="2"/>
        <v>42984</v>
      </c>
      <c r="K20" s="1340">
        <f t="shared" si="2"/>
        <v>0</v>
      </c>
      <c r="L20" s="1340">
        <f t="shared" si="2"/>
        <v>126827</v>
      </c>
      <c r="M20" s="1340">
        <f t="shared" si="2"/>
        <v>0</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2108</v>
      </c>
      <c r="C22" s="1338"/>
      <c r="D22" s="1339"/>
      <c r="E22" s="1340">
        <f>E20+' SEFA (2)'!E24+' SEFA'!E24</f>
        <v>1122347</v>
      </c>
      <c r="F22" s="1340">
        <f>F20+' SEFA (2)'!F24+' SEFA'!F24</f>
        <v>1351236</v>
      </c>
      <c r="G22" s="1340">
        <f>G20+' SEFA (2)'!G24+' SEFA'!G24</f>
        <v>1400160</v>
      </c>
      <c r="H22" s="1340">
        <f>H20+' SEFA (2)'!H24+' SEFA'!H24</f>
        <v>230687</v>
      </c>
      <c r="I22" s="1340">
        <f>I20+' SEFA (2)'!I24+' SEFA'!I24</f>
        <v>1211290</v>
      </c>
      <c r="J22" s="1340">
        <f>J20+' SEFA (2)'!J24+' SEFA'!J24</f>
        <v>145771</v>
      </c>
      <c r="K22" s="1340">
        <f>K20+' SEFA (2)'!K24+' SEFA'!K24</f>
        <v>45928</v>
      </c>
      <c r="L22" s="1340">
        <f>L20+' SEFA (2)'!L24+' SEFA'!L24</f>
        <v>2657378</v>
      </c>
      <c r="M22" s="1340">
        <f>M20+' SEFA (2)'!M24+' SEFA'!M24</f>
        <v>2696201</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G52"/>
  <sheetViews>
    <sheetView showGridLines="0" topLeftCell="A14" zoomScale="120" zoomScaleNormal="120" workbookViewId="0">
      <selection activeCell="D17" sqref="D17:F2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 xml:space="preserve">JAMP Spec Educ Services </v>
      </c>
      <c r="B1" s="2456"/>
      <c r="C1" s="2456"/>
      <c r="D1" s="2456"/>
      <c r="E1" s="2456"/>
      <c r="F1" s="2456"/>
    </row>
    <row r="2" spans="1:7" ht="13.5" customHeight="1" x14ac:dyDescent="0.2">
      <c r="A2" s="2441">
        <f>'Single Audit Cover'!E7</f>
        <v>30077801060</v>
      </c>
      <c r="B2" s="2441"/>
      <c r="C2" s="2441"/>
      <c r="D2" s="2441"/>
      <c r="E2" s="2441"/>
      <c r="F2" s="2441"/>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2138</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5" t="s">
        <v>1730</v>
      </c>
      <c r="B13" s="2455"/>
      <c r="C13" s="2455"/>
      <c r="D13" s="2455"/>
      <c r="E13" s="2455"/>
      <c r="F13" s="2455"/>
    </row>
    <row r="14" spans="1:7" ht="9.75" customHeight="1" x14ac:dyDescent="0.2">
      <c r="C14" s="1257"/>
      <c r="D14" s="1257"/>
    </row>
    <row r="15" spans="1:7" ht="13.5" customHeight="1" x14ac:dyDescent="0.2">
      <c r="C15" s="1846" t="s">
        <v>1270</v>
      </c>
      <c r="D15" s="2450" t="s">
        <v>1269</v>
      </c>
      <c r="E15" s="2450"/>
      <c r="F15" s="2450"/>
    </row>
    <row r="16" spans="1:7" ht="13.5" customHeight="1" x14ac:dyDescent="0.2">
      <c r="A16" s="1279"/>
      <c r="B16" s="1273" t="s">
        <v>1268</v>
      </c>
      <c r="C16" s="1846" t="s">
        <v>1267</v>
      </c>
      <c r="D16" s="2451" t="s">
        <v>1588</v>
      </c>
      <c r="E16" s="2451"/>
      <c r="F16" s="2451"/>
    </row>
    <row r="17" spans="1:6" ht="20.45" customHeight="1" x14ac:dyDescent="0.2">
      <c r="A17" s="1280"/>
      <c r="B17" s="1281" t="s">
        <v>2119</v>
      </c>
      <c r="C17" s="1282">
        <v>84.027000000000001</v>
      </c>
      <c r="D17" s="2452">
        <v>15059</v>
      </c>
      <c r="E17" s="2453"/>
      <c r="F17" s="2454"/>
    </row>
    <row r="18" spans="1:6" ht="20.65" customHeight="1" x14ac:dyDescent="0.2">
      <c r="A18" s="1280"/>
      <c r="B18" s="1281" t="s">
        <v>2122</v>
      </c>
      <c r="C18" s="1282">
        <v>84.027000000000001</v>
      </c>
      <c r="D18" s="2452">
        <f>1491+15519</f>
        <v>17010</v>
      </c>
      <c r="E18" s="2453"/>
      <c r="F18" s="2454"/>
    </row>
    <row r="19" spans="1:6" ht="20.65" customHeight="1" x14ac:dyDescent="0.2">
      <c r="A19" s="1280"/>
      <c r="B19" s="1281" t="s">
        <v>2120</v>
      </c>
      <c r="C19" s="1282">
        <v>84.027000000000001</v>
      </c>
      <c r="D19" s="2452">
        <v>11640</v>
      </c>
      <c r="E19" s="2453"/>
      <c r="F19" s="2454"/>
    </row>
    <row r="20" spans="1:6" ht="20.65" customHeight="1" x14ac:dyDescent="0.2">
      <c r="A20" s="1280"/>
      <c r="B20" s="1281" t="s">
        <v>2121</v>
      </c>
      <c r="C20" s="1282">
        <v>84.027000000000001</v>
      </c>
      <c r="D20" s="2445">
        <v>31924</v>
      </c>
      <c r="E20" s="2445"/>
      <c r="F20" s="2445"/>
    </row>
    <row r="21" spans="1:6" ht="20.65" customHeight="1" x14ac:dyDescent="0.2">
      <c r="A21" s="1280"/>
      <c r="B21" s="1281" t="s">
        <v>2140</v>
      </c>
      <c r="C21" s="1282">
        <v>84.027000000000001</v>
      </c>
      <c r="D21" s="2445">
        <v>10647</v>
      </c>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2139</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8DEC0-0F33-4F24-A8EF-396141319CEC}">
  <sheetPr>
    <tabColor rgb="FFFFFF00"/>
  </sheetPr>
  <dimension ref="A1:G52"/>
  <sheetViews>
    <sheetView showGridLines="0" topLeftCell="A14" zoomScale="120" zoomScaleNormal="120" workbookViewId="0">
      <selection activeCell="D17" sqref="D17:F2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 xml:space="preserve">JAMP Spec Educ Services </v>
      </c>
      <c r="B1" s="2456"/>
      <c r="C1" s="2456"/>
      <c r="D1" s="2456"/>
      <c r="E1" s="2456"/>
      <c r="F1" s="2456"/>
    </row>
    <row r="2" spans="1:7" ht="13.5" customHeight="1" x14ac:dyDescent="0.2">
      <c r="A2" s="2441">
        <f>'Single Audit Cover'!E7</f>
        <v>30077801060</v>
      </c>
      <c r="B2" s="2441"/>
      <c r="C2" s="2441"/>
      <c r="D2" s="2441"/>
      <c r="E2" s="2441"/>
      <c r="F2" s="2441"/>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2138</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5" t="s">
        <v>2141</v>
      </c>
      <c r="B13" s="2455"/>
      <c r="C13" s="2455"/>
      <c r="D13" s="2455"/>
      <c r="E13" s="2455"/>
      <c r="F13" s="2455"/>
    </row>
    <row r="14" spans="1:7" ht="9.75" customHeight="1" x14ac:dyDescent="0.2">
      <c r="C14" s="1257"/>
      <c r="D14" s="1257"/>
    </row>
    <row r="15" spans="1:7" ht="13.5" customHeight="1" x14ac:dyDescent="0.2">
      <c r="C15" s="1937" t="s">
        <v>1270</v>
      </c>
      <c r="D15" s="2450" t="s">
        <v>1269</v>
      </c>
      <c r="E15" s="2450"/>
      <c r="F15" s="2450"/>
    </row>
    <row r="16" spans="1:7" ht="13.5" customHeight="1" x14ac:dyDescent="0.2">
      <c r="A16" s="1279"/>
      <c r="B16" s="1273" t="s">
        <v>1268</v>
      </c>
      <c r="C16" s="1937" t="s">
        <v>1267</v>
      </c>
      <c r="D16" s="2451" t="s">
        <v>1588</v>
      </c>
      <c r="E16" s="2451"/>
      <c r="F16" s="2451"/>
    </row>
    <row r="17" spans="1:6" ht="20.45" customHeight="1" x14ac:dyDescent="0.2">
      <c r="A17" s="1280"/>
      <c r="B17" s="1281" t="s">
        <v>2123</v>
      </c>
      <c r="C17" s="1282">
        <v>10.553000000000001</v>
      </c>
      <c r="D17" s="2452">
        <v>6388</v>
      </c>
      <c r="E17" s="2453"/>
      <c r="F17" s="2454"/>
    </row>
    <row r="18" spans="1:6" ht="20.65" customHeight="1" x14ac:dyDescent="0.2">
      <c r="A18" s="1280"/>
      <c r="B18" s="1281" t="s">
        <v>2124</v>
      </c>
      <c r="C18" s="1282">
        <v>10.555</v>
      </c>
      <c r="D18" s="2452">
        <v>10119</v>
      </c>
      <c r="E18" s="2453"/>
      <c r="F18" s="2454"/>
    </row>
    <row r="19" spans="1:6" ht="20.65" customHeight="1" x14ac:dyDescent="0.2">
      <c r="A19" s="1280"/>
      <c r="B19" s="1281" t="s">
        <v>2125</v>
      </c>
      <c r="C19" s="1282">
        <v>93.778000000000006</v>
      </c>
      <c r="D19" s="2452">
        <v>612</v>
      </c>
      <c r="E19" s="2453"/>
      <c r="F19" s="2454"/>
    </row>
    <row r="20" spans="1:6" ht="20.65" customHeight="1" x14ac:dyDescent="0.2">
      <c r="A20" s="1280"/>
      <c r="B20" s="1281" t="s">
        <v>2126</v>
      </c>
      <c r="C20" s="1282">
        <v>93.778000000000006</v>
      </c>
      <c r="D20" s="2445">
        <v>4693</v>
      </c>
      <c r="E20" s="2445"/>
      <c r="F20" s="2445"/>
    </row>
    <row r="21" spans="1:6" ht="20.65" customHeight="1" x14ac:dyDescent="0.2">
      <c r="A21" s="1280"/>
      <c r="B21" s="1281" t="s">
        <v>2127</v>
      </c>
      <c r="C21" s="1282">
        <v>93.778000000000006</v>
      </c>
      <c r="D21" s="2445">
        <v>2285</v>
      </c>
      <c r="E21" s="2445"/>
      <c r="F21" s="2445"/>
    </row>
    <row r="22" spans="1:6" ht="20.65" customHeight="1" x14ac:dyDescent="0.2">
      <c r="A22" s="1280"/>
      <c r="B22" s="1281" t="s">
        <v>2128</v>
      </c>
      <c r="C22" s="1282">
        <v>93.778000000000006</v>
      </c>
      <c r="D22" s="2445">
        <v>1254</v>
      </c>
      <c r="E22" s="2445"/>
      <c r="F22" s="2445"/>
    </row>
    <row r="23" spans="1:6" ht="20.65" customHeight="1" x14ac:dyDescent="0.2">
      <c r="A23" s="1280"/>
      <c r="B23" s="1281" t="s">
        <v>2129</v>
      </c>
      <c r="C23" s="1282">
        <v>93.778000000000006</v>
      </c>
      <c r="D23" s="2445">
        <v>4986</v>
      </c>
      <c r="E23" s="2445"/>
      <c r="F23" s="2445"/>
    </row>
    <row r="24" spans="1:6" ht="20.65" customHeight="1" x14ac:dyDescent="0.2">
      <c r="A24" s="1280"/>
      <c r="B24" s="1281" t="s">
        <v>2130</v>
      </c>
      <c r="C24" s="1282">
        <v>93.778000000000006</v>
      </c>
      <c r="D24" s="2445">
        <v>3109</v>
      </c>
      <c r="E24" s="2445"/>
      <c r="F24" s="2445"/>
    </row>
    <row r="25" spans="1:6" ht="20.65" customHeight="1" x14ac:dyDescent="0.2">
      <c r="A25" s="1280"/>
      <c r="B25" s="1281" t="s">
        <v>2131</v>
      </c>
      <c r="C25" s="1282">
        <v>93.778000000000006</v>
      </c>
      <c r="D25" s="2445">
        <v>6471</v>
      </c>
      <c r="E25" s="2445"/>
      <c r="F25" s="2445"/>
    </row>
    <row r="26" spans="1:6" ht="20.65" customHeight="1" x14ac:dyDescent="0.2">
      <c r="A26" s="1280"/>
      <c r="B26" s="1281" t="s">
        <v>2132</v>
      </c>
      <c r="C26" s="1282">
        <v>93.778000000000006</v>
      </c>
      <c r="D26" s="2445">
        <v>4476</v>
      </c>
      <c r="E26" s="2445"/>
      <c r="F26" s="2445"/>
    </row>
    <row r="27" spans="1:6" ht="20.65" customHeight="1" x14ac:dyDescent="0.2">
      <c r="A27" s="1280"/>
      <c r="B27" s="1281" t="s">
        <v>2133</v>
      </c>
      <c r="C27" s="1282">
        <v>93.778000000000006</v>
      </c>
      <c r="D27" s="2445">
        <v>7764</v>
      </c>
      <c r="E27" s="2445"/>
      <c r="F27" s="2445"/>
    </row>
    <row r="28" spans="1:6" ht="20.65" customHeight="1" x14ac:dyDescent="0.2">
      <c r="A28" s="1280"/>
      <c r="B28" s="1281" t="s">
        <v>2134</v>
      </c>
      <c r="C28" s="1282">
        <v>93.778000000000006</v>
      </c>
      <c r="D28" s="2445">
        <v>7334</v>
      </c>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2139</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938"/>
      <c r="C50" s="1938"/>
      <c r="D50" s="1938"/>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zoomScale="110" zoomScaleNormal="110" workbookViewId="0">
      <selection activeCell="D9" sqref="D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 xml:space="preserve">JAMP Spec Educ Services </v>
      </c>
      <c r="C1" s="2471"/>
      <c r="D1" s="2471"/>
      <c r="E1" s="2471"/>
      <c r="F1" s="2471"/>
      <c r="G1" s="2471"/>
      <c r="H1" s="2471"/>
      <c r="I1" s="2471"/>
      <c r="J1" s="1406"/>
    </row>
    <row r="2" spans="2:10" s="317" customFormat="1" ht="12.75" customHeight="1" x14ac:dyDescent="0.2">
      <c r="B2" s="2472">
        <f>'Single Audit Cover'!E7</f>
        <v>30077801060</v>
      </c>
      <c r="C2" s="2473"/>
      <c r="D2" s="2473"/>
      <c r="E2" s="2473"/>
      <c r="F2" s="2473"/>
      <c r="G2" s="2473"/>
      <c r="H2" s="2473"/>
      <c r="I2" s="2473"/>
      <c r="J2" s="1406"/>
    </row>
    <row r="3" spans="2:10" s="317" customFormat="1" ht="12.75" customHeight="1" x14ac:dyDescent="0.2">
      <c r="B3" s="2474" t="s">
        <v>1285</v>
      </c>
      <c r="C3" s="2475"/>
      <c r="D3" s="2475"/>
      <c r="E3" s="2475"/>
      <c r="F3" s="2475"/>
      <c r="G3" s="2475"/>
      <c r="H3" s="2475"/>
      <c r="I3" s="2475"/>
      <c r="J3" s="1407"/>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4" t="s">
        <v>1284</v>
      </c>
      <c r="C7" s="2475"/>
      <c r="D7" s="2475"/>
      <c r="E7" s="2475"/>
      <c r="F7" s="2475"/>
      <c r="G7" s="2475"/>
      <c r="H7" s="2475"/>
      <c r="I7" s="247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6" t="s">
        <v>1164</v>
      </c>
      <c r="D11" s="247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7" t="s">
        <v>2135</v>
      </c>
      <c r="E29" s="2477"/>
      <c r="F29" s="2477"/>
      <c r="G29" s="2477"/>
      <c r="H29" s="2477"/>
      <c r="I29" s="2477"/>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8" t="s">
        <v>1749</v>
      </c>
      <c r="D37" s="2479"/>
      <c r="E37" s="2479"/>
      <c r="F37" s="2480"/>
      <c r="G37" s="2478" t="s">
        <v>1592</v>
      </c>
      <c r="H37" s="2479"/>
      <c r="I37" s="2480"/>
    </row>
    <row r="38" spans="2:9" ht="16.5" customHeight="1" x14ac:dyDescent="0.2">
      <c r="B38" s="1428" t="s">
        <v>2136</v>
      </c>
      <c r="C38" s="2466" t="s">
        <v>2137</v>
      </c>
      <c r="D38" s="2467"/>
      <c r="E38" s="2467"/>
      <c r="F38" s="2468"/>
      <c r="G38" s="2481">
        <v>1134668</v>
      </c>
      <c r="H38" s="2482"/>
      <c r="I38" s="2483"/>
    </row>
    <row r="39" spans="2:9" ht="16.5" customHeight="1" x14ac:dyDescent="0.2">
      <c r="B39" s="1428"/>
      <c r="C39" s="2466"/>
      <c r="D39" s="2467"/>
      <c r="E39" s="2467"/>
      <c r="F39" s="2468"/>
      <c r="G39" s="2469"/>
      <c r="H39" s="2469"/>
      <c r="I39" s="2469"/>
    </row>
    <row r="40" spans="2:9" ht="16.5" customHeight="1" x14ac:dyDescent="0.2">
      <c r="B40" s="1428"/>
      <c r="C40" s="2466"/>
      <c r="D40" s="2467"/>
      <c r="E40" s="2467"/>
      <c r="F40" s="2468"/>
      <c r="G40" s="2469"/>
      <c r="H40" s="2469"/>
      <c r="I40" s="2469"/>
    </row>
    <row r="41" spans="2:9" ht="16.5" customHeight="1" x14ac:dyDescent="0.2">
      <c r="B41" s="1428"/>
      <c r="C41" s="2466"/>
      <c r="D41" s="2467"/>
      <c r="E41" s="2467"/>
      <c r="F41" s="2468"/>
      <c r="G41" s="2469"/>
      <c r="H41" s="2469"/>
      <c r="I41" s="2469"/>
    </row>
    <row r="42" spans="2:9" ht="16.5" customHeight="1" x14ac:dyDescent="0.2">
      <c r="B42" s="1428"/>
      <c r="C42" s="2466"/>
      <c r="D42" s="2467"/>
      <c r="E42" s="2467"/>
      <c r="F42" s="2468"/>
      <c r="G42" s="2469"/>
      <c r="H42" s="2469"/>
      <c r="I42" s="2469"/>
    </row>
    <row r="43" spans="2:9" ht="16.5" customHeight="1" x14ac:dyDescent="0.2">
      <c r="B43" s="1428"/>
      <c r="C43" s="2459" t="s">
        <v>1593</v>
      </c>
      <c r="D43" s="2460"/>
      <c r="E43" s="2460"/>
      <c r="F43" s="2461"/>
      <c r="G43" s="2462">
        <f>SUM(G38:I42)</f>
        <v>1134668</v>
      </c>
      <c r="H43" s="2462"/>
      <c r="I43" s="2462"/>
    </row>
    <row r="44" spans="2:9" ht="12.75" customHeight="1" x14ac:dyDescent="0.2"/>
    <row r="45" spans="2:9" ht="12.75" customHeight="1" x14ac:dyDescent="0.2">
      <c r="B45" s="1419" t="s">
        <v>1839</v>
      </c>
      <c r="D45" s="2463">
        <v>1211290</v>
      </c>
      <c r="E45" s="2464"/>
    </row>
    <row r="46" spans="2:9" ht="5.25" customHeight="1" x14ac:dyDescent="0.2">
      <c r="B46" s="1429"/>
      <c r="D46" s="1430"/>
      <c r="E46" s="1431"/>
    </row>
    <row r="47" spans="2:9" ht="12.75" customHeight="1" x14ac:dyDescent="0.2">
      <c r="B47" s="1297" t="s">
        <v>1594</v>
      </c>
      <c r="C47" s="1297"/>
      <c r="D47" s="1432">
        <f>+G43/D45</f>
        <v>0.93674347183581141</v>
      </c>
      <c r="E47" s="1433"/>
      <c r="F47" s="1434"/>
      <c r="I47" s="1435"/>
    </row>
    <row r="48" spans="2:9" ht="9.9499999999999993" customHeight="1" x14ac:dyDescent="0.2"/>
    <row r="49" spans="1:9" x14ac:dyDescent="0.2">
      <c r="B49" s="1365" t="s">
        <v>1273</v>
      </c>
      <c r="C49" s="1279"/>
      <c r="D49" s="1279"/>
      <c r="E49" s="2465">
        <v>750000</v>
      </c>
      <c r="F49" s="2465"/>
      <c r="G49" s="2465"/>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R22" sqref="R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 xml:space="preserve">JAMP Spec Educ Services </v>
      </c>
      <c r="C1" s="2470"/>
      <c r="D1" s="2470"/>
      <c r="E1" s="2470"/>
      <c r="F1" s="2470"/>
      <c r="G1" s="2470"/>
      <c r="H1" s="2470"/>
      <c r="I1" s="2470"/>
      <c r="J1" s="2470"/>
      <c r="K1" s="2470"/>
      <c r="L1" s="1371"/>
      <c r="M1" s="1371"/>
    </row>
    <row r="2" spans="1:13" ht="12" customHeight="1" x14ac:dyDescent="0.2">
      <c r="B2" s="2472">
        <f>'Single Audit Cover'!E7</f>
        <v>30077801060</v>
      </c>
      <c r="C2" s="2472"/>
      <c r="D2" s="2472"/>
      <c r="E2" s="2472"/>
      <c r="F2" s="2472"/>
      <c r="G2" s="2472"/>
      <c r="H2" s="2472"/>
      <c r="I2" s="2472"/>
      <c r="J2" s="2472"/>
      <c r="K2" s="2472"/>
      <c r="L2" s="1372"/>
      <c r="M2" s="1373"/>
    </row>
    <row r="3" spans="1:13" ht="10.35" customHeight="1" x14ac:dyDescent="0.2">
      <c r="B3" s="2486" t="s">
        <v>1285</v>
      </c>
      <c r="C3" s="2486"/>
      <c r="D3" s="2486"/>
      <c r="E3" s="2486"/>
      <c r="F3" s="2486"/>
      <c r="G3" s="2486"/>
      <c r="H3" s="2486"/>
      <c r="I3" s="2486"/>
      <c r="J3" s="2486"/>
      <c r="K3" s="2486"/>
      <c r="L3" s="1374"/>
      <c r="M3" s="1374"/>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7" t="s">
        <v>1296</v>
      </c>
      <c r="C7" s="2487"/>
      <c r="D7" s="2488"/>
      <c r="E7" s="2488"/>
      <c r="F7" s="2488"/>
      <c r="G7" s="2488"/>
      <c r="H7" s="2488"/>
      <c r="I7" s="2488"/>
      <c r="J7" s="2488"/>
      <c r="K7" s="248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5"/>
      <c r="C14" s="2485"/>
      <c r="D14" s="2485"/>
      <c r="E14" s="2485"/>
      <c r="F14" s="2485"/>
      <c r="G14" s="2485"/>
      <c r="H14" s="2485"/>
      <c r="I14" s="2485"/>
      <c r="J14" s="2485"/>
      <c r="K14" s="248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5"/>
      <c r="C17" s="2485"/>
      <c r="D17" s="2485"/>
      <c r="E17" s="2485"/>
      <c r="F17" s="2485"/>
      <c r="G17" s="2485"/>
      <c r="H17" s="2485"/>
      <c r="I17" s="2485"/>
      <c r="J17" s="2485"/>
      <c r="K17" s="2485"/>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9"/>
      <c r="C20" s="2489"/>
      <c r="D20" s="2485"/>
      <c r="E20" s="2485"/>
      <c r="F20" s="2485"/>
      <c r="G20" s="2485"/>
      <c r="H20" s="2485"/>
      <c r="I20" s="2485"/>
      <c r="J20" s="2485"/>
      <c r="K20" s="248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5"/>
      <c r="C23" s="2485"/>
      <c r="D23" s="2485"/>
      <c r="E23" s="2485"/>
      <c r="F23" s="2485"/>
      <c r="G23" s="2485"/>
      <c r="H23" s="2485"/>
      <c r="I23" s="2485"/>
      <c r="J23" s="2485"/>
      <c r="K23" s="248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5"/>
      <c r="C26" s="2485"/>
      <c r="D26" s="2485"/>
      <c r="E26" s="2485"/>
      <c r="F26" s="2485"/>
      <c r="G26" s="2485"/>
      <c r="H26" s="2485"/>
      <c r="I26" s="2485"/>
      <c r="J26" s="2485"/>
      <c r="K26" s="248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4"/>
      <c r="C29" s="2484"/>
      <c r="D29" s="2485"/>
      <c r="E29" s="2485"/>
      <c r="F29" s="2485"/>
      <c r="G29" s="2485"/>
      <c r="H29" s="2485"/>
      <c r="I29" s="2485"/>
      <c r="J29" s="2485"/>
      <c r="K29" s="248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4"/>
      <c r="C32" s="2484"/>
      <c r="D32" s="2485"/>
      <c r="E32" s="2485"/>
      <c r="F32" s="2485"/>
      <c r="G32" s="2485"/>
      <c r="H32" s="2485"/>
      <c r="I32" s="2485"/>
      <c r="J32" s="2485"/>
      <c r="K32" s="248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 xml:space="preserve">JAMP Spec Educ Services </v>
      </c>
      <c r="C1" s="2493"/>
      <c r="D1" s="2493"/>
      <c r="E1" s="2493"/>
      <c r="F1" s="2493"/>
      <c r="G1" s="2493"/>
      <c r="H1" s="2493"/>
      <c r="I1" s="2493"/>
      <c r="J1" s="2493"/>
      <c r="K1" s="2493"/>
      <c r="L1" s="1449"/>
    </row>
    <row r="2" spans="1:12" ht="12.75" customHeight="1" x14ac:dyDescent="0.2">
      <c r="B2" s="2494">
        <f>'Single Audit Cover'!E7</f>
        <v>30077801060</v>
      </c>
      <c r="C2" s="2494"/>
      <c r="D2" s="2494"/>
      <c r="E2" s="2494"/>
      <c r="F2" s="2494"/>
      <c r="G2" s="2494"/>
      <c r="H2" s="2494"/>
      <c r="I2" s="2494"/>
      <c r="J2" s="2494"/>
      <c r="K2" s="2494"/>
      <c r="L2" s="1450"/>
    </row>
    <row r="3" spans="1:12" ht="12.75" customHeight="1" x14ac:dyDescent="0.2">
      <c r="B3" s="2486" t="s">
        <v>1285</v>
      </c>
      <c r="C3" s="2486"/>
      <c r="D3" s="2486"/>
      <c r="E3" s="2486"/>
      <c r="F3" s="2486"/>
      <c r="G3" s="2486"/>
      <c r="H3" s="2486"/>
      <c r="I3" s="2486"/>
      <c r="J3" s="2486"/>
      <c r="K3" s="2486"/>
      <c r="L3" s="1374"/>
    </row>
    <row r="4" spans="1:12" ht="12.75" customHeight="1" x14ac:dyDescent="0.2">
      <c r="B4" s="2486" t="str">
        <f>'Single Audit Cover'!A4</f>
        <v>Year Ending June 30, 2019</v>
      </c>
      <c r="C4" s="2486"/>
      <c r="D4" s="2486"/>
      <c r="E4" s="2486"/>
      <c r="F4" s="2486"/>
      <c r="G4" s="2486"/>
      <c r="H4" s="2486"/>
      <c r="I4" s="2486"/>
      <c r="J4" s="2486"/>
      <c r="K4" s="2486"/>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7"/>
      <c r="G12" s="2477"/>
      <c r="H12" s="2477"/>
      <c r="I12" s="2477"/>
      <c r="J12" s="2477"/>
      <c r="K12" s="247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5"/>
      <c r="C20" s="2485"/>
      <c r="D20" s="2485"/>
      <c r="E20" s="2485"/>
      <c r="F20" s="2485"/>
      <c r="G20" s="2485"/>
      <c r="H20" s="2485"/>
      <c r="I20" s="2485"/>
      <c r="J20" s="2485"/>
      <c r="K20" s="248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0" t="str">
        <f>'Single Audit Cover'!A7</f>
        <v xml:space="preserve">JAMP Spec Educ Services </v>
      </c>
      <c r="C1" s="2470"/>
      <c r="D1" s="2470"/>
      <c r="E1" s="1469"/>
    </row>
    <row r="2" spans="2:5" s="1279" customFormat="1" ht="12.75" customHeight="1" x14ac:dyDescent="0.2">
      <c r="B2" s="2472">
        <f>'Single Audit Cover'!E7</f>
        <v>30077801060</v>
      </c>
      <c r="C2" s="2472"/>
      <c r="D2" s="2472"/>
      <c r="E2" s="1470"/>
    </row>
    <row r="3" spans="2:5" ht="12.75" customHeight="1" x14ac:dyDescent="0.2">
      <c r="B3" s="2486" t="s">
        <v>1764</v>
      </c>
      <c r="C3" s="2486"/>
      <c r="D3" s="2486"/>
      <c r="E3" s="1271"/>
    </row>
    <row r="4" spans="2:5" s="1279" customFormat="1" ht="12.75" customHeight="1" x14ac:dyDescent="0.2">
      <c r="B4" s="2496" t="str">
        <f>'Single Audit Cover'!A4</f>
        <v>Year Ending June 30, 2019</v>
      </c>
      <c r="C4" s="2496"/>
      <c r="D4" s="2496"/>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topLeftCell="A13" colorId="8" zoomScale="110" zoomScaleNormal="110" workbookViewId="0">
      <selection activeCell="B54" sqref="B54:L6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2855231</v>
      </c>
      <c r="E16" s="356"/>
      <c r="F16" s="1733">
        <f>SUM('Acct Summary 7-8'!C17,'Acct Summary 7-8'!D17,'Acct Summary 7-8'!F17)</f>
        <v>2545028</v>
      </c>
      <c r="G16" s="356"/>
      <c r="H16" s="1733">
        <f>SUM(D16-F16)</f>
        <v>310203</v>
      </c>
      <c r="I16" s="222"/>
      <c r="J16" s="1733">
        <f>SUM('Acct Summary 7-8'!C81,'Acct Summary 7-8'!D81,'Acct Summary 7-8'!F81,'Acct Summary 7-8'!I81)</f>
        <v>800008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0</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B57" sqref="B57:J6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JAMP Spec Educ Services </v>
      </c>
      <c r="E7" s="391"/>
      <c r="G7" s="252"/>
      <c r="H7" s="387"/>
      <c r="I7" s="387"/>
      <c r="J7" s="387"/>
      <c r="K7" s="387"/>
      <c r="L7" s="329"/>
      <c r="M7" s="329"/>
      <c r="N7" s="329"/>
      <c r="O7" s="329"/>
      <c r="P7" s="329"/>
    </row>
    <row r="8" spans="1:18" ht="12.75" x14ac:dyDescent="0.2">
      <c r="A8" s="329"/>
      <c r="B8" s="329"/>
      <c r="C8" s="389" t="s">
        <v>1125</v>
      </c>
      <c r="D8" s="392">
        <f>COVER!A13</f>
        <v>30077801060</v>
      </c>
      <c r="E8" s="393"/>
      <c r="G8" s="329"/>
      <c r="H8" s="329"/>
      <c r="I8" s="329"/>
      <c r="J8" s="329"/>
      <c r="K8" s="329"/>
      <c r="L8" s="329"/>
      <c r="M8" s="329"/>
      <c r="N8" s="329"/>
      <c r="O8" s="329"/>
      <c r="P8" s="329"/>
    </row>
    <row r="9" spans="1:18" ht="12.75" x14ac:dyDescent="0.2">
      <c r="A9" s="329"/>
      <c r="B9" s="329"/>
      <c r="C9" s="389" t="s">
        <v>713</v>
      </c>
      <c r="D9" s="394" t="str">
        <f>COVER!A15</f>
        <v>Johnson, Alexander, Massac &amp; 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800008</v>
      </c>
      <c r="I12" s="404"/>
      <c r="J12" s="404"/>
      <c r="K12" s="405">
        <f>TRUNC((H12/H13*100000),5)/100000</f>
        <v>0.28019028930000001</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2855231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2545028</v>
      </c>
      <c r="I17" s="404"/>
      <c r="J17" s="416"/>
      <c r="K17" s="405">
        <f>TRUNC((H17/H18*100000),5)/100000</f>
        <v>0.89135625100000004</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2855231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920449</v>
      </c>
      <c r="I24" s="422"/>
      <c r="J24" s="422"/>
      <c r="K24" s="423">
        <f>TRUNC(((H24/H25*100000)/100000),2)</f>
        <v>130.19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7069.5222199999998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#DIV/0!</v>
      </c>
      <c r="P31" s="216"/>
    </row>
    <row r="32" spans="1:18" s="408" customFormat="1" ht="11.25" x14ac:dyDescent="0.2">
      <c r="A32" s="218"/>
      <c r="B32" s="401"/>
      <c r="C32" s="218" t="s">
        <v>847</v>
      </c>
      <c r="D32" s="218"/>
      <c r="E32" s="218"/>
      <c r="F32" s="218"/>
      <c r="G32" s="402"/>
      <c r="H32" s="403">
        <f>'FP Info 3'!H37</f>
        <v>0</v>
      </c>
      <c r="I32" s="420"/>
      <c r="J32" s="420"/>
      <c r="K32" s="423" t="e">
        <f>TRUNC(100-((((H32/H33*100))*100)/100),2)</f>
        <v>#DIV/0!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0</v>
      </c>
      <c r="I33" s="420"/>
      <c r="J33" s="420"/>
      <c r="K33" s="403"/>
      <c r="L33" s="218"/>
      <c r="M33" s="435" t="s">
        <v>1145</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 header="0.19" footer="0.4"/>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colorId="8" zoomScale="90" zoomScaleNormal="90" workbookViewId="0">
      <pane ySplit="2" topLeftCell="A3" activePane="bottomLeft" state="frozen"/>
      <selection activeCell="B57" sqref="B57:J67"/>
      <selection pane="bottomLeft" activeCell="B57" sqref="B57:J6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882805</v>
      </c>
      <c r="D4" s="466">
        <v>37644</v>
      </c>
      <c r="E4" s="466"/>
      <c r="F4" s="466"/>
      <c r="G4" s="466"/>
      <c r="H4" s="466"/>
      <c r="I4" s="466"/>
      <c r="J4" s="467"/>
      <c r="K4" s="466"/>
      <c r="L4" s="466">
        <v>1368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882805</v>
      </c>
      <c r="D13" s="1737">
        <f t="shared" ref="D13:L13" si="0">SUM(D4:D12)</f>
        <v>37644</v>
      </c>
      <c r="E13" s="1737">
        <f t="shared" si="0"/>
        <v>0</v>
      </c>
      <c r="F13" s="1737">
        <f t="shared" si="0"/>
        <v>0</v>
      </c>
      <c r="G13" s="1737">
        <f t="shared" si="0"/>
        <v>0</v>
      </c>
      <c r="H13" s="1737">
        <f t="shared" si="0"/>
        <v>0</v>
      </c>
      <c r="I13" s="1737">
        <f t="shared" si="0"/>
        <v>0</v>
      </c>
      <c r="J13" s="1737">
        <f t="shared" si="0"/>
        <v>0</v>
      </c>
      <c r="K13" s="1737">
        <f t="shared" si="0"/>
        <v>0</v>
      </c>
      <c r="L13" s="1737">
        <f t="shared" si="0"/>
        <v>1368</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247923</v>
      </c>
      <c r="N17" s="484"/>
    </row>
    <row r="18" spans="1:14" s="485" customFormat="1" ht="12.75" customHeight="1" x14ac:dyDescent="0.2">
      <c r="A18" s="482" t="s">
        <v>1404</v>
      </c>
      <c r="B18" s="483">
        <v>240</v>
      </c>
      <c r="C18" s="477"/>
      <c r="D18" s="477"/>
      <c r="E18" s="477"/>
      <c r="F18" s="477"/>
      <c r="G18" s="477"/>
      <c r="H18" s="477"/>
      <c r="I18" s="477"/>
      <c r="J18" s="477"/>
      <c r="K18" s="477"/>
      <c r="L18" s="477"/>
      <c r="M18" s="467">
        <v>14729</v>
      </c>
      <c r="N18" s="484"/>
    </row>
    <row r="19" spans="1:14" s="485" customFormat="1" ht="12.75" customHeight="1" x14ac:dyDescent="0.2">
      <c r="A19" s="482" t="s">
        <v>1405</v>
      </c>
      <c r="B19" s="483">
        <v>250</v>
      </c>
      <c r="C19" s="477"/>
      <c r="D19" s="477"/>
      <c r="E19" s="477"/>
      <c r="F19" s="477"/>
      <c r="G19" s="477"/>
      <c r="H19" s="477"/>
      <c r="I19" s="477"/>
      <c r="J19" s="477"/>
      <c r="K19" s="477"/>
      <c r="L19" s="477"/>
      <c r="M19" s="467">
        <v>382203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644855</v>
      </c>
      <c r="N23" s="1688">
        <f>SUM(N21:N22)</f>
        <v>0</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2214</v>
      </c>
      <c r="D31" s="467"/>
      <c r="E31" s="467"/>
      <c r="F31" s="466"/>
      <c r="G31" s="467"/>
      <c r="H31" s="467"/>
      <c r="I31" s="467"/>
      <c r="J31" s="467"/>
      <c r="K31" s="467"/>
      <c r="L31" s="468"/>
      <c r="M31" s="468"/>
      <c r="N31" s="468"/>
    </row>
    <row r="32" spans="1:14" ht="13.5" customHeight="1" x14ac:dyDescent="0.2">
      <c r="A32" s="490" t="s">
        <v>652</v>
      </c>
      <c r="B32" s="491">
        <v>490</v>
      </c>
      <c r="C32" s="492">
        <v>118227</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1368</v>
      </c>
      <c r="M33" s="468"/>
      <c r="N33" s="469"/>
    </row>
    <row r="34" spans="1:14" ht="13.5" customHeight="1" thickBot="1" x14ac:dyDescent="0.25">
      <c r="A34" s="1738" t="s">
        <v>654</v>
      </c>
      <c r="B34" s="1739"/>
      <c r="C34" s="1740">
        <f>SUM(C25:C33)</f>
        <v>120441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1368</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762364</v>
      </c>
      <c r="D39" s="466">
        <v>37644</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644855</v>
      </c>
      <c r="N40" s="497"/>
    </row>
    <row r="41" spans="1:14" ht="13.5" customHeight="1" thickBot="1" x14ac:dyDescent="0.25">
      <c r="A41" s="1736" t="s">
        <v>655</v>
      </c>
      <c r="B41" s="1706"/>
      <c r="C41" s="1688">
        <f>(SUM(C34,C37,C38,C39))</f>
        <v>882805</v>
      </c>
      <c r="D41" s="1688">
        <f t="shared" ref="D41:L41" si="2">SUM(D34,D37,D38:D39)</f>
        <v>37644</v>
      </c>
      <c r="E41" s="1688">
        <f t="shared" si="2"/>
        <v>0</v>
      </c>
      <c r="F41" s="1688">
        <f t="shared" si="2"/>
        <v>0</v>
      </c>
      <c r="G41" s="1688">
        <f t="shared" si="2"/>
        <v>0</v>
      </c>
      <c r="H41" s="1688">
        <f t="shared" si="2"/>
        <v>0</v>
      </c>
      <c r="I41" s="1688">
        <f t="shared" si="2"/>
        <v>0</v>
      </c>
      <c r="J41" s="1688">
        <f t="shared" si="2"/>
        <v>0</v>
      </c>
      <c r="K41" s="1688">
        <f t="shared" si="2"/>
        <v>0</v>
      </c>
      <c r="L41" s="1688">
        <f t="shared" si="2"/>
        <v>1368</v>
      </c>
      <c r="M41" s="1688">
        <f>SUM(M40)</f>
        <v>644855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5" header="0.53" footer="0.4"/>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99"/>
  </sheetPr>
  <dimension ref="A1:M87"/>
  <sheetViews>
    <sheetView showGridLines="0" defaultGridColor="0" colorId="8" zoomScale="110" zoomScaleNormal="110" zoomScaleSheetLayoutView="100" workbookViewId="0">
      <pane ySplit="2" topLeftCell="A3" activePane="bottomLeft" state="frozen"/>
      <selection pane="bottomLeft" activeCell="C13" sqref="C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984244</v>
      </c>
      <c r="D4" s="1742">
        <f>'Revenues 9-14'!D109</f>
        <v>3140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297415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1393943</v>
      </c>
      <c r="D7" s="1743">
        <f>'Revenues 9-14'!D267</f>
        <v>176489</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2675602</v>
      </c>
      <c r="D8" s="1688">
        <f t="shared" ref="D8:K8" si="0">SUM(D4:D7)</f>
        <v>179629</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599307</v>
      </c>
      <c r="D9" s="516"/>
      <c r="E9" s="481"/>
      <c r="F9" s="481"/>
      <c r="G9" s="517"/>
      <c r="H9" s="481"/>
      <c r="I9" s="509" t="s">
        <v>1169</v>
      </c>
      <c r="J9" s="478"/>
      <c r="K9" s="481"/>
      <c r="L9" s="347"/>
    </row>
    <row r="10" spans="1:13" s="519" customFormat="1" ht="13.5" thickBot="1" x14ac:dyDescent="0.25">
      <c r="A10" s="1736" t="s">
        <v>1173</v>
      </c>
      <c r="B10" s="1709"/>
      <c r="C10" s="1688">
        <f>SUM(C8:C9)</f>
        <v>3274909</v>
      </c>
      <c r="D10" s="1688">
        <f t="shared" ref="D10:K10" si="1">SUM(D8:D9)</f>
        <v>179629</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427753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1662677</v>
      </c>
      <c r="D13" s="1743">
        <f>'Expenditures 15-22'!K129</f>
        <v>91023</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363575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2454005</v>
      </c>
      <c r="D17" s="1688">
        <f t="shared" si="2"/>
        <v>91023</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599307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3053312</v>
      </c>
      <c r="D19" s="1688">
        <f t="shared" si="4"/>
        <v>91023</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3" t="s">
        <v>1655</v>
      </c>
      <c r="B20" s="2134"/>
      <c r="C20" s="1746">
        <f>C8-C17</f>
        <v>221597</v>
      </c>
      <c r="D20" s="1746">
        <f t="shared" ref="D20:K20" si="5">D8-D17</f>
        <v>88606</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9" t="s">
        <v>597</v>
      </c>
      <c r="B78" s="2130"/>
      <c r="C78" s="1702">
        <f t="shared" ref="C78:K78" si="9">C20+C77</f>
        <v>221597</v>
      </c>
      <c r="D78" s="1702">
        <f t="shared" si="9"/>
        <v>88606</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540767</v>
      </c>
      <c r="D79" s="535">
        <v>-50962</v>
      </c>
      <c r="E79" s="535"/>
      <c r="F79" s="535"/>
      <c r="G79" s="535"/>
      <c r="H79" s="535"/>
      <c r="I79" s="535"/>
      <c r="J79" s="535"/>
      <c r="K79" s="535"/>
      <c r="L79" s="347"/>
    </row>
    <row r="80" spans="1:12" x14ac:dyDescent="0.2">
      <c r="A80" s="2135" t="s">
        <v>1793</v>
      </c>
      <c r="B80" s="2136"/>
      <c r="C80" s="467"/>
      <c r="D80" s="467"/>
      <c r="E80" s="467"/>
      <c r="F80" s="467"/>
      <c r="G80" s="467"/>
      <c r="H80" s="467"/>
      <c r="I80" s="467"/>
      <c r="J80" s="467"/>
      <c r="K80" s="467"/>
      <c r="L80" s="347"/>
    </row>
    <row r="81" spans="1:12" ht="13.5" thickBot="1" x14ac:dyDescent="0.25">
      <c r="A81" s="2127" t="s">
        <v>1948</v>
      </c>
      <c r="B81" s="2128"/>
      <c r="C81" s="1688">
        <f>(SUM(C78:C80))</f>
        <v>762364</v>
      </c>
      <c r="D81" s="1688">
        <f>SUM(D78:D80)</f>
        <v>37644</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221597</v>
      </c>
      <c r="D82" s="538">
        <f t="shared" ref="D82:K82" si="11">(D81-D79)</f>
        <v>88606</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0.29067086063874997</v>
      </c>
      <c r="D83" s="540">
        <f t="shared" ref="D83:K83" si="12">D82/D81</f>
        <v>2.353788120284773</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237" activePane="bottomLeft" state="frozen"/>
      <selection activeCell="B57" sqref="B57:J67"/>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1800</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964294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964294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11338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11338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7282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v>3140</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1330</v>
      </c>
      <c r="D107" s="466"/>
      <c r="E107" s="466"/>
      <c r="F107" s="466"/>
      <c r="G107" s="466"/>
      <c r="H107" s="466"/>
      <c r="I107" s="466"/>
      <c r="J107" s="467"/>
      <c r="K107" s="466"/>
    </row>
    <row r="108" spans="1:12" ht="12.75" customHeight="1" thickBot="1" x14ac:dyDescent="0.25">
      <c r="A108" s="1708" t="s">
        <v>487</v>
      </c>
      <c r="B108" s="1712"/>
      <c r="C108" s="1707">
        <f>SUM(C95:C107)</f>
        <v>8612</v>
      </c>
      <c r="D108" s="1707">
        <f t="shared" ref="D108:K108" si="3">SUM(D95:D107)</f>
        <v>3140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984244</v>
      </c>
      <c r="D109" s="1715">
        <f t="shared" si="4"/>
        <v>3140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210926</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210926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326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86163</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86489</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297415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1801</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10119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6388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16507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34513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1065904</v>
      </c>
      <c r="D213" s="466">
        <v>176489</v>
      </c>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1100417</v>
      </c>
      <c r="D217" s="1707">
        <f>SUM(D211:D216)</f>
        <v>176489</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57823</v>
      </c>
      <c r="D263" s="576"/>
      <c r="E263" s="468"/>
      <c r="F263" s="576"/>
      <c r="G263" s="576"/>
      <c r="H263" s="468"/>
      <c r="I263" s="468"/>
      <c r="J263" s="468"/>
      <c r="K263" s="468"/>
    </row>
    <row r="264" spans="1:11" ht="12.75" customHeight="1" thickTop="1" thickBot="1" x14ac:dyDescent="0.25">
      <c r="A264" s="463" t="s">
        <v>377</v>
      </c>
      <c r="B264" s="470">
        <v>4992</v>
      </c>
      <c r="C264" s="575">
        <v>219196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1393943</v>
      </c>
      <c r="D266" s="1715">
        <f t="shared" si="10"/>
        <v>176489</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1393943</v>
      </c>
      <c r="D267" s="1715">
        <f>SUM(D175,D181,D266)</f>
        <v>176489</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2675602</v>
      </c>
      <c r="D268" s="1715">
        <f t="shared" si="12"/>
        <v>179629</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5" header="0.26" footer="0.4"/>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colorId="8" zoomScaleNormal="100" workbookViewId="0">
      <pane ySplit="2" topLeftCell="A171" activePane="bottomLeft" state="frozen"/>
      <selection activeCell="B57" sqref="B57:J67"/>
      <selection pane="bottomLeft" activeCell="B57" sqref="B57:J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237876</v>
      </c>
      <c r="D8" s="466">
        <v>54106</v>
      </c>
      <c r="E8" s="466">
        <v>11226</v>
      </c>
      <c r="F8" s="466">
        <v>6360</v>
      </c>
      <c r="G8" s="466"/>
      <c r="H8" s="466"/>
      <c r="I8" s="467"/>
      <c r="J8" s="467"/>
      <c r="K8" s="1671">
        <f t="shared" si="0"/>
        <v>309568</v>
      </c>
      <c r="L8" s="466">
        <v>383979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74232</v>
      </c>
      <c r="D13" s="466">
        <v>12847</v>
      </c>
      <c r="E13" s="466">
        <v>26303</v>
      </c>
      <c r="F13" s="466">
        <v>4803</v>
      </c>
      <c r="G13" s="466"/>
      <c r="H13" s="466"/>
      <c r="I13" s="467"/>
      <c r="J13" s="467"/>
      <c r="K13" s="1671">
        <f t="shared" si="0"/>
        <v>118185</v>
      </c>
      <c r="L13" s="466">
        <v>153263</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312108</v>
      </c>
      <c r="D33" s="1670">
        <f t="shared" ref="D33:L33" si="1">SUM(D5:D32)</f>
        <v>66953</v>
      </c>
      <c r="E33" s="1670">
        <f t="shared" si="1"/>
        <v>37529</v>
      </c>
      <c r="F33" s="1670">
        <f t="shared" si="1"/>
        <v>11163</v>
      </c>
      <c r="G33" s="1670">
        <f t="shared" si="1"/>
        <v>0</v>
      </c>
      <c r="H33" s="1670">
        <f t="shared" si="1"/>
        <v>0</v>
      </c>
      <c r="I33" s="1670">
        <f t="shared" si="1"/>
        <v>0</v>
      </c>
      <c r="J33" s="1670">
        <f t="shared" si="1"/>
        <v>0</v>
      </c>
      <c r="K33" s="1670">
        <f t="shared" si="1"/>
        <v>427753</v>
      </c>
      <c r="L33" s="1670">
        <f t="shared" si="1"/>
        <v>537242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50414</v>
      </c>
      <c r="D36" s="481">
        <v>10886</v>
      </c>
      <c r="E36" s="481">
        <v>18543</v>
      </c>
      <c r="F36" s="481">
        <v>1579</v>
      </c>
      <c r="G36" s="481"/>
      <c r="H36" s="481"/>
      <c r="I36" s="467"/>
      <c r="J36" s="467"/>
      <c r="K36" s="1671">
        <f t="shared" ref="K36:K41" si="2">SUM(C36:J36)</f>
        <v>81422</v>
      </c>
      <c r="L36" s="466">
        <v>93020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297970</v>
      </c>
      <c r="D38" s="466">
        <v>59222</v>
      </c>
      <c r="E38" s="466">
        <v>16725</v>
      </c>
      <c r="F38" s="466">
        <v>2981</v>
      </c>
      <c r="G38" s="466"/>
      <c r="H38" s="466"/>
      <c r="I38" s="467"/>
      <c r="J38" s="467"/>
      <c r="K38" s="1671">
        <f t="shared" si="2"/>
        <v>376898</v>
      </c>
      <c r="L38" s="466">
        <v>384294</v>
      </c>
    </row>
    <row r="39" spans="1:14" x14ac:dyDescent="0.2">
      <c r="A39" s="1504" t="s">
        <v>199</v>
      </c>
      <c r="B39" s="614">
        <v>2140</v>
      </c>
      <c r="C39" s="466">
        <v>147337</v>
      </c>
      <c r="D39" s="466">
        <v>31854</v>
      </c>
      <c r="E39" s="466">
        <v>10817</v>
      </c>
      <c r="F39" s="466">
        <v>7049</v>
      </c>
      <c r="G39" s="466"/>
      <c r="H39" s="466"/>
      <c r="I39" s="467"/>
      <c r="J39" s="467"/>
      <c r="K39" s="1671">
        <f t="shared" si="2"/>
        <v>197057</v>
      </c>
      <c r="L39" s="466">
        <v>198917</v>
      </c>
    </row>
    <row r="40" spans="1:14" x14ac:dyDescent="0.2">
      <c r="A40" s="1504" t="s">
        <v>200</v>
      </c>
      <c r="B40" s="614">
        <v>2150</v>
      </c>
      <c r="C40" s="466">
        <v>107530</v>
      </c>
      <c r="D40" s="466">
        <v>17642</v>
      </c>
      <c r="E40" s="466">
        <v>2117</v>
      </c>
      <c r="F40" s="466">
        <v>1996</v>
      </c>
      <c r="G40" s="466"/>
      <c r="H40" s="466"/>
      <c r="I40" s="467"/>
      <c r="J40" s="467"/>
      <c r="K40" s="1671">
        <f t="shared" si="2"/>
        <v>129285</v>
      </c>
      <c r="L40" s="466">
        <v>137576</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603251</v>
      </c>
      <c r="D42" s="1670">
        <f t="shared" ref="D42:L42" si="3">SUM(D36:D41)</f>
        <v>119604</v>
      </c>
      <c r="E42" s="1670">
        <f t="shared" si="3"/>
        <v>48202</v>
      </c>
      <c r="F42" s="1670">
        <f t="shared" si="3"/>
        <v>13605</v>
      </c>
      <c r="G42" s="1670">
        <f t="shared" si="3"/>
        <v>0</v>
      </c>
      <c r="H42" s="1670">
        <f t="shared" si="3"/>
        <v>0</v>
      </c>
      <c r="I42" s="1670">
        <f t="shared" si="3"/>
        <v>0</v>
      </c>
      <c r="J42" s="1670">
        <f t="shared" si="3"/>
        <v>0</v>
      </c>
      <c r="K42" s="1670">
        <f t="shared" si="3"/>
        <v>784662</v>
      </c>
      <c r="L42" s="1670">
        <f t="shared" si="3"/>
        <v>813807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27415</v>
      </c>
      <c r="D44" s="481">
        <v>7060</v>
      </c>
      <c r="E44" s="481">
        <v>42578</v>
      </c>
      <c r="F44" s="481">
        <v>421</v>
      </c>
      <c r="G44" s="481"/>
      <c r="H44" s="481"/>
      <c r="I44" s="467"/>
      <c r="J44" s="467"/>
      <c r="K44" s="1672">
        <f>SUM(C44:J44)</f>
        <v>77474</v>
      </c>
      <c r="L44" s="481">
        <v>82737</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27415</v>
      </c>
      <c r="D47" s="1670">
        <f t="shared" ref="D47:K47" si="4">SUM(D44:D46)</f>
        <v>7060</v>
      </c>
      <c r="E47" s="1670">
        <f t="shared" si="4"/>
        <v>42578</v>
      </c>
      <c r="F47" s="1670">
        <f t="shared" si="4"/>
        <v>421</v>
      </c>
      <c r="G47" s="1670">
        <f t="shared" si="4"/>
        <v>0</v>
      </c>
      <c r="H47" s="1670">
        <f t="shared" si="4"/>
        <v>0</v>
      </c>
      <c r="I47" s="1670">
        <f t="shared" si="4"/>
        <v>0</v>
      </c>
      <c r="J47" s="1670">
        <f t="shared" si="4"/>
        <v>0</v>
      </c>
      <c r="K47" s="1670">
        <f t="shared" si="4"/>
        <v>77474</v>
      </c>
      <c r="L47" s="1670">
        <f>SUM(L44:L46)</f>
        <v>82737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333310</v>
      </c>
      <c r="D50" s="466">
        <v>64184</v>
      </c>
      <c r="E50" s="466">
        <v>155901</v>
      </c>
      <c r="F50" s="466">
        <v>15196</v>
      </c>
      <c r="G50" s="466">
        <v>9429</v>
      </c>
      <c r="H50" s="466">
        <v>6886</v>
      </c>
      <c r="I50" s="467"/>
      <c r="J50" s="467"/>
      <c r="K50" s="1672">
        <f>SUM(C50:J50)</f>
        <v>584906</v>
      </c>
      <c r="L50" s="466">
        <v>624356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333310</v>
      </c>
      <c r="D53" s="1670">
        <f t="shared" ref="D53:L53" si="5">SUM(D49:D52)</f>
        <v>64184</v>
      </c>
      <c r="E53" s="1670">
        <f t="shared" si="5"/>
        <v>155901</v>
      </c>
      <c r="F53" s="1670">
        <f t="shared" si="5"/>
        <v>15196</v>
      </c>
      <c r="G53" s="1670">
        <f t="shared" si="5"/>
        <v>9429</v>
      </c>
      <c r="H53" s="1670">
        <f t="shared" si="5"/>
        <v>6886</v>
      </c>
      <c r="I53" s="1670">
        <f t="shared" si="5"/>
        <v>0</v>
      </c>
      <c r="J53" s="1670">
        <f t="shared" si="5"/>
        <v>0</v>
      </c>
      <c r="K53" s="1670">
        <f t="shared" si="5"/>
        <v>584906</v>
      </c>
      <c r="L53" s="1670">
        <f t="shared" si="5"/>
        <v>624356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94832</v>
      </c>
      <c r="D60" s="466">
        <v>30027</v>
      </c>
      <c r="E60" s="466"/>
      <c r="F60" s="466"/>
      <c r="G60" s="466"/>
      <c r="H60" s="466">
        <v>1592</v>
      </c>
      <c r="I60" s="467"/>
      <c r="J60" s="467"/>
      <c r="K60" s="1672">
        <f t="shared" si="7"/>
        <v>126451</v>
      </c>
      <c r="L60" s="466">
        <v>126482</v>
      </c>
      <c r="M60" s="609"/>
      <c r="N60" s="609"/>
    </row>
    <row r="61" spans="1:14" s="343" customFormat="1" x14ac:dyDescent="0.2">
      <c r="A61" s="1504" t="s">
        <v>197</v>
      </c>
      <c r="B61" s="614">
        <v>2540</v>
      </c>
      <c r="C61" s="466"/>
      <c r="D61" s="466"/>
      <c r="E61" s="466">
        <v>58225</v>
      </c>
      <c r="F61" s="466">
        <v>25215</v>
      </c>
      <c r="G61" s="466">
        <v>5608</v>
      </c>
      <c r="H61" s="466"/>
      <c r="I61" s="467"/>
      <c r="J61" s="467"/>
      <c r="K61" s="1672">
        <f t="shared" si="7"/>
        <v>89048</v>
      </c>
      <c r="L61" s="466">
        <v>91754</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v>136</v>
      </c>
      <c r="G63" s="466"/>
      <c r="H63" s="466"/>
      <c r="I63" s="467"/>
      <c r="J63" s="467"/>
      <c r="K63" s="1672">
        <f t="shared" si="7"/>
        <v>136</v>
      </c>
      <c r="L63" s="466">
        <v>2000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94832</v>
      </c>
      <c r="D65" s="1670">
        <f t="shared" ref="D65:L65" si="8">SUM(D59:D64)</f>
        <v>30027</v>
      </c>
      <c r="E65" s="1670">
        <f t="shared" si="8"/>
        <v>58225</v>
      </c>
      <c r="F65" s="1670">
        <f t="shared" si="8"/>
        <v>25351</v>
      </c>
      <c r="G65" s="1670">
        <f t="shared" si="8"/>
        <v>5608</v>
      </c>
      <c r="H65" s="1670">
        <f t="shared" si="8"/>
        <v>1592</v>
      </c>
      <c r="I65" s="1670">
        <f t="shared" si="8"/>
        <v>0</v>
      </c>
      <c r="J65" s="1670">
        <f t="shared" si="8"/>
        <v>0</v>
      </c>
      <c r="K65" s="1670">
        <f t="shared" si="8"/>
        <v>215635</v>
      </c>
      <c r="L65" s="1670">
        <f t="shared" si="8"/>
        <v>220236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1058808</v>
      </c>
      <c r="D74" s="1677">
        <f t="shared" ref="D74:K74" si="10">SUM(D42,D47,D53,D57,D65,D72,D73)</f>
        <v>220875</v>
      </c>
      <c r="E74" s="1677">
        <f t="shared" si="10"/>
        <v>304906</v>
      </c>
      <c r="F74" s="1677">
        <f t="shared" si="10"/>
        <v>54573</v>
      </c>
      <c r="G74" s="1677">
        <f t="shared" si="10"/>
        <v>15037</v>
      </c>
      <c r="H74" s="1677">
        <f t="shared" si="10"/>
        <v>8478</v>
      </c>
      <c r="I74" s="1677">
        <f t="shared" si="10"/>
        <v>0</v>
      </c>
      <c r="J74" s="1677">
        <f t="shared" si="10"/>
        <v>0</v>
      </c>
      <c r="K74" s="1677">
        <f t="shared" si="10"/>
        <v>1662677</v>
      </c>
      <c r="L74" s="1677">
        <f>SUM(L42,L47,L53,L57,L65,L72,L73)</f>
        <v>1741136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86281</v>
      </c>
      <c r="I79" s="477"/>
      <c r="J79" s="477"/>
      <c r="K79" s="1671">
        <f t="shared" si="11"/>
        <v>86281</v>
      </c>
      <c r="L79" s="466">
        <v>120203</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277294</v>
      </c>
      <c r="I83" s="477"/>
      <c r="J83" s="477"/>
      <c r="K83" s="1671">
        <f t="shared" si="11"/>
        <v>277294</v>
      </c>
      <c r="L83" s="466">
        <v>316100</v>
      </c>
    </row>
    <row r="84" spans="1:12" ht="13.5" thickBot="1" x14ac:dyDescent="0.25">
      <c r="A84" s="1668" t="s">
        <v>1485</v>
      </c>
      <c r="B84" s="1678">
        <v>4100</v>
      </c>
      <c r="C84" s="616"/>
      <c r="D84" s="616"/>
      <c r="E84" s="1670">
        <f>SUM(E78:E83)</f>
        <v>0</v>
      </c>
      <c r="F84" s="616"/>
      <c r="G84" s="616"/>
      <c r="H84" s="1670">
        <f>SUM(H78:H83)</f>
        <v>363575</v>
      </c>
      <c r="I84" s="477"/>
      <c r="J84" s="477"/>
      <c r="K84" s="1670">
        <f>SUM(K78:K83)</f>
        <v>363575</v>
      </c>
      <c r="L84" s="1670">
        <f>SUM(L78:L83)</f>
        <v>436303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363575</v>
      </c>
      <c r="I102" s="477"/>
      <c r="J102" s="477"/>
      <c r="K102" s="1677">
        <f>SUM(K84,K92,K100,K101)</f>
        <v>363575</v>
      </c>
      <c r="L102" s="1677">
        <f>SUM(L84,L92,L100,L101)</f>
        <v>436303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1370916</v>
      </c>
      <c r="D114" s="1670">
        <f t="shared" ref="D114:K114" si="13">SUM(D33,D74,D75,D102,D112,D113)</f>
        <v>287828</v>
      </c>
      <c r="E114" s="1670">
        <f t="shared" si="13"/>
        <v>342435</v>
      </c>
      <c r="F114" s="1670">
        <f t="shared" si="13"/>
        <v>65736</v>
      </c>
      <c r="G114" s="1670">
        <f t="shared" si="13"/>
        <v>15037</v>
      </c>
      <c r="H114" s="1670">
        <f>SUM(H33,H74,H75,H102,H112,H113)</f>
        <v>372053</v>
      </c>
      <c r="I114" s="1670">
        <f t="shared" si="13"/>
        <v>0</v>
      </c>
      <c r="J114" s="1670">
        <f t="shared" si="13"/>
        <v>0</v>
      </c>
      <c r="K114" s="1670">
        <f t="shared" si="13"/>
        <v>2454005</v>
      </c>
      <c r="L114" s="1670">
        <f>SUM(L33,L74,L75,L102,L112,L113)</f>
        <v>2714681</v>
      </c>
    </row>
    <row r="115" spans="1:14" ht="13.5" thickTop="1" x14ac:dyDescent="0.2">
      <c r="A115" s="2188" t="s">
        <v>996</v>
      </c>
      <c r="B115" s="2189"/>
      <c r="C115" s="618"/>
      <c r="D115" s="618"/>
      <c r="E115" s="618"/>
      <c r="F115" s="618"/>
      <c r="G115" s="618"/>
      <c r="H115" s="618"/>
      <c r="I115" s="618"/>
      <c r="J115" s="618"/>
      <c r="K115" s="1684">
        <f>'Revenues 9-14'!C268-'Expenditures 15-22'!K114</f>
        <v>221597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101262</v>
      </c>
    </row>
    <row r="124" spans="1:14" ht="14.25" thickTop="1" thickBot="1" x14ac:dyDescent="0.25">
      <c r="A124" s="1504" t="s">
        <v>197</v>
      </c>
      <c r="B124" s="614">
        <v>2540</v>
      </c>
      <c r="C124" s="466"/>
      <c r="D124" s="466"/>
      <c r="E124" s="466">
        <v>1770</v>
      </c>
      <c r="F124" s="466">
        <v>341</v>
      </c>
      <c r="G124" s="466">
        <v>88912</v>
      </c>
      <c r="H124" s="466"/>
      <c r="I124" s="467"/>
      <c r="J124" s="467"/>
      <c r="K124" s="1670">
        <f>SUM(C124:J124)</f>
        <v>91023</v>
      </c>
      <c r="L124" s="466">
        <v>18000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1770</v>
      </c>
      <c r="F127" s="1670">
        <f t="shared" si="14"/>
        <v>341</v>
      </c>
      <c r="G127" s="1670">
        <f t="shared" si="14"/>
        <v>88912</v>
      </c>
      <c r="H127" s="1670">
        <f t="shared" si="14"/>
        <v>0</v>
      </c>
      <c r="I127" s="1670">
        <f t="shared" si="14"/>
        <v>0</v>
      </c>
      <c r="J127" s="1670">
        <f t="shared" si="14"/>
        <v>0</v>
      </c>
      <c r="K127" s="1670">
        <f t="shared" si="14"/>
        <v>91023</v>
      </c>
      <c r="L127" s="1670">
        <f t="shared" si="14"/>
        <v>119262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1770</v>
      </c>
      <c r="F129" s="1677">
        <f t="shared" si="15"/>
        <v>341</v>
      </c>
      <c r="G129" s="1677">
        <f t="shared" si="15"/>
        <v>88912</v>
      </c>
      <c r="H129" s="1677">
        <f t="shared" si="15"/>
        <v>0</v>
      </c>
      <c r="I129" s="1677">
        <f t="shared" si="15"/>
        <v>0</v>
      </c>
      <c r="J129" s="1677">
        <f t="shared" si="15"/>
        <v>0</v>
      </c>
      <c r="K129" s="1677">
        <f t="shared" si="15"/>
        <v>91023</v>
      </c>
      <c r="L129" s="1677">
        <f t="shared" si="15"/>
        <v>119262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60"/>
      <c r="C151" s="1670">
        <f>SUM(C129,C130,C139,C149,C150)</f>
        <v>0</v>
      </c>
      <c r="D151" s="1670">
        <f t="shared" ref="D151:K151" si="16">SUM(D129,D130,D139,D149,D150)</f>
        <v>0</v>
      </c>
      <c r="E151" s="1670">
        <f t="shared" si="16"/>
        <v>1770</v>
      </c>
      <c r="F151" s="1670">
        <f t="shared" si="16"/>
        <v>341</v>
      </c>
      <c r="G151" s="1670">
        <f t="shared" si="16"/>
        <v>88912</v>
      </c>
      <c r="H151" s="1670">
        <f t="shared" si="16"/>
        <v>0</v>
      </c>
      <c r="I151" s="1670">
        <f t="shared" si="16"/>
        <v>0</v>
      </c>
      <c r="J151" s="1670">
        <f t="shared" si="16"/>
        <v>0</v>
      </c>
      <c r="K151" s="1670">
        <f t="shared" si="16"/>
        <v>91023</v>
      </c>
      <c r="L151" s="1670">
        <f>SUM(L129,L130,L139,L149,L150)</f>
        <v>119262</v>
      </c>
    </row>
    <row r="152" spans="1:14" ht="12.75" customHeight="1" thickTop="1" x14ac:dyDescent="0.2">
      <c r="A152" s="2181" t="s">
        <v>1178</v>
      </c>
      <c r="B152" s="2182"/>
      <c r="C152" s="618"/>
      <c r="D152" s="618"/>
      <c r="E152" s="618"/>
      <c r="F152" s="618"/>
      <c r="G152" s="618"/>
      <c r="H152" s="618"/>
      <c r="I152" s="618"/>
      <c r="J152" s="616"/>
      <c r="K152" s="1684">
        <f>'Revenues 9-14'!D268-'Expenditures 15-22'!K151</f>
        <v>88606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8" t="s">
        <v>996</v>
      </c>
      <c r="B175" s="218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8" t="s">
        <v>996</v>
      </c>
      <c r="B211" s="218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8" t="s">
        <v>996</v>
      </c>
      <c r="B296" s="218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4" t="s">
        <v>996</v>
      </c>
      <c r="B343" s="217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996</v>
      </c>
      <c r="B368" s="218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4"/>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6ce3111e-7420-4802-b50a-75d4e9a0b980"/>
    <ds:schemaRef ds:uri="http://purl.org/dc/terms/"/>
    <ds:schemaRef ds:uri="d21dc803-237d-4c68-8692-8d731fd29118"/>
    <ds:schemaRef ds:uri="http://schemas.microsoft.com/office/2006/metadata/properties"/>
    <ds:schemaRef ds:uri="http://schemas.microsoft.com/office/infopath/2007/PartnerControls"/>
    <ds:schemaRef ds:uri="http://schemas.microsoft.com/office/2006/documentManagement/types"/>
    <ds:schemaRef ds:uri="http://purl.org/dc/dcmitype/"/>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SEFA NOTES (2)</vt:lpstr>
      <vt:lpstr>SF&amp;QC Sec-1</vt:lpstr>
      <vt:lpstr>SF&amp;QC Sec-2</vt:lpstr>
      <vt:lpstr>SF&amp;QC Sec-3</vt:lpstr>
      <vt:lpstr>SSPAF</vt:lpstr>
      <vt:lpstr>' SEFA'!Print_Area</vt:lpstr>
      <vt:lpstr>' SEFA (2)'!Print_Area</vt:lpstr>
      <vt:lpstr>' SEFA (3)'!Print_Area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2019-10-02T21:20:50Z</cp:lastPrinted>
  <dcterms:created xsi:type="dcterms:W3CDTF">2003-10-29T19:06:34Z</dcterms:created>
  <dcterms:modified xsi:type="dcterms:W3CDTF">2019-11-06T16:53:03Z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