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9A6E3576-6AD2-4201-9D1A-7A7B44D6E854}"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7" i="5" l="1"/>
  <c r="C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82" i="36"/>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6" i="127"/>
  <c r="B67" i="127"/>
  <c r="E26" i="108"/>
  <c r="G26" i="108"/>
  <c r="D27" i="108"/>
  <c r="E27" i="108"/>
  <c r="F27" i="108"/>
  <c r="G27" i="108"/>
  <c r="F31" i="108"/>
  <c r="F36" i="108"/>
  <c r="F37" i="108"/>
  <c r="G28" i="108"/>
  <c r="E29" i="108"/>
  <c r="G29"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L22" i="37"/>
  <c r="D24" i="37"/>
  <c r="B4270" i="106" s="1"/>
  <c r="D4270" i="106" s="1"/>
  <c r="D9" i="7"/>
  <c r="B1767" i="106" s="1"/>
  <c r="D1767" i="106" s="1"/>
  <c r="D17" i="7"/>
  <c r="B4104" i="106" s="1"/>
  <c r="D4104" i="106" s="1"/>
  <c r="F19" i="7" l="1"/>
  <c r="B1807" i="106" s="1"/>
  <c r="D1807" i="106" s="1"/>
  <c r="F70" i="34"/>
  <c r="F62" i="34"/>
  <c r="G38" i="108"/>
  <c r="F26" i="108"/>
  <c r="B6995" i="106"/>
  <c r="D6995" i="106" s="1"/>
  <c r="J22" i="37"/>
  <c r="F34" i="34"/>
  <c r="E38" i="108"/>
  <c r="G30" i="108"/>
  <c r="F28" i="108"/>
  <c r="D68" i="36"/>
  <c r="B7235" i="106"/>
  <c r="D7235" i="106" s="1"/>
  <c r="H365" i="29"/>
  <c r="B7242" i="106" s="1"/>
  <c r="D7242" i="106" s="1"/>
  <c r="F77" i="4"/>
  <c r="B3255" i="106" s="1"/>
  <c r="D3255" i="106" s="1"/>
  <c r="I24" i="12"/>
  <c r="L5" i="11"/>
  <c r="B2056" i="106" s="1"/>
  <c r="D2056" i="106" s="1"/>
  <c r="E30" i="108"/>
  <c r="E28" i="108"/>
  <c r="D26" i="108"/>
  <c r="D41" i="108" s="1"/>
  <c r="E43" i="108" s="1"/>
  <c r="D54" i="36"/>
  <c r="H76" i="4"/>
  <c r="B3298" i="106" s="1"/>
  <c r="D3298" i="106" s="1"/>
  <c r="J41" i="3"/>
  <c r="K184" i="29"/>
  <c r="F13" i="4" s="1"/>
  <c r="B2596" i="106" s="1"/>
  <c r="D2596" i="106" s="1"/>
  <c r="G210" i="29"/>
  <c r="G15" i="145"/>
  <c r="K41" i="3"/>
  <c r="C129" i="29"/>
  <c r="C151" i="29" s="1"/>
  <c r="B1226" i="106" s="1"/>
  <c r="D1226" i="106" s="1"/>
  <c r="L367" i="29"/>
  <c r="D7245" i="106"/>
  <c r="D6103" i="106"/>
  <c r="B3647" i="106"/>
  <c r="D3647" i="106" s="1"/>
  <c r="C352" i="29"/>
  <c r="K76" i="4"/>
  <c r="B3586" i="106" s="1"/>
  <c r="D3586" i="106" s="1"/>
  <c r="L13" i="11"/>
  <c r="B2060" i="106" s="1"/>
  <c r="D2060" i="106" s="1"/>
  <c r="B1308" i="106"/>
  <c r="D1308" i="106" s="1"/>
  <c r="E174" i="29"/>
  <c r="B1309" i="106" s="1"/>
  <c r="D1309" i="106" s="1"/>
  <c r="K28" i="118"/>
  <c r="O27" i="118" s="1"/>
  <c r="O29" i="118" s="1"/>
  <c r="L342" i="29"/>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174" i="34"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C114" i="29" l="1"/>
  <c r="B757" i="106" s="1"/>
  <c r="D757" i="106" s="1"/>
  <c r="D44" i="36"/>
  <c r="B1996" i="106"/>
  <c r="D1996" i="106" s="1"/>
  <c r="I26" i="12"/>
  <c r="B7741" i="106" s="1"/>
  <c r="D7741" i="106" s="1"/>
  <c r="K365" i="29"/>
  <c r="D7253" i="106"/>
  <c r="D7254" i="106"/>
  <c r="J16" i="4"/>
  <c r="B6226" i="106" s="1"/>
  <c r="D6226" i="106" s="1"/>
  <c r="D7250" i="106"/>
  <c r="L16" i="11"/>
  <c r="B2061" i="106" s="1"/>
  <c r="D2061" i="106" s="1"/>
  <c r="L114" i="29"/>
  <c r="B5778" i="106"/>
  <c r="D5778" i="106" s="1"/>
  <c r="G6" i="4"/>
  <c r="B2604" i="106" s="1"/>
  <c r="D2604" i="106" s="1"/>
  <c r="K342" i="29"/>
  <c r="F13" i="34" s="1"/>
  <c r="B1365" i="106"/>
  <c r="D1365" i="106" s="1"/>
  <c r="F65"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B2567" i="106"/>
  <c r="D2567" i="106" s="1"/>
  <c r="B6227" i="106" l="1"/>
  <c r="D6227"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<sst xmlns="http://schemas.openxmlformats.org/spreadsheetml/2006/main" count="5055" uniqueCount="2090">
  <si>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</si>
  <si>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</si>
  <si>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</si>
  <si>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</si>
  <si>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</si>
  <si>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</si>
  <si>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</si>
  <si>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</si>
  <si>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</si>
  <si>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</si>
  <si>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</si>
  <si>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</si>
  <si>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</si>
  <si>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</si>
  <si>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</si>
  <si>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</si>
  <si>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</si>
  <si>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</si>
  <si>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</si>
  <si>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</si>
  <si>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</si>
  <si>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</si>
  <si>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</si>
  <si>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</si>
  <si>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</si>
  <si>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</si>
  <si>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</si>
  <si>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</si>
  <si>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</si>
  <si>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</si>
  <si>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</si>
  <si>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</si>
  <si>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</si>
  <si>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</si>
  <si>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</si>
  <si>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</si>
  <si>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</si>
  <si>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</si>
  <si>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</si>
  <si>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</si>
  <si>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</si>
  <si>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</si>
  <si>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</si>
  <si>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</si>
  <si>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</si>
  <si>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</si>
  <si>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</si>
  <si>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</si>
  <si>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</si>
  <si>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</si>
  <si>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</si>
  <si>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</si>
  <si>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</si>
  <si>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</si>
  <si>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</si>
  <si>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</si>
  <si>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</si>
  <si>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</si>
  <si>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</si>
  <si>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</si>
  <si>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</si>
  <si>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</si>
  <si>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</si>
  <si>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</si>
  <si>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</si>
  <si>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</si>
  <si>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</si>
  <si>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</si>
  <si>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</si>
  <si>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</si>
  <si>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</si>
  <si>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</si>
  <si>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</si>
  <si>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</si>
  <si>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</si>
  <si>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</si>
  <si>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</si>
  <si>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</si>
  <si>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</si>
  <si>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</si>
  <si>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</si>
  <si>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</si>
  <si>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</si>
  <si>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</si>
  <si>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</si>
  <si>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</si>
  <si>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</si>
  <si>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</si>
  <si>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</si>
  <si>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</si>
  <si>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</si>
  <si>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</si>
  <si>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</si>
  <si>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</si>
  <si>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</si>
  <si>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</si>
  <si>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</si>
  <si>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</si>
  <si>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</si>
  <si>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</si>
  <si>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</si>
  <si>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</si>
  <si>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</si>
  <si>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</si>
  <si>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</si>
  <si>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</si>
  <si>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</si>
  <si>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</si>
  <si>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</si>
  <si>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</si>
  <si>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</si>
  <si>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</si>
  <si>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</si>
  <si>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</si>
  <si>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</si>
  <si>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</si>
  <si>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</si>
  <si>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</si>
  <si>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</si>
  <si>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</si>
  <si>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</si>
  <si>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</si>
  <si>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</si>
  <si>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</si>
  <si>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</si>
  <si>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</si>
  <si>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</si>
  <si>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</si>
  <si>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</si>
  <si>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</si>
  <si>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</si>
  <si>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</si>
  <si>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</si>
  <si>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</si>
  <si>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</si>
  <si>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</si>
  <si>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</si>
  <si>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</si>
  <si>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</si>
  <si>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</si>
  <si>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</si>
  <si>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</si>
  <si>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</si>
  <si>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</si>
  <si>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</si>
  <si>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</si>
  <si>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</si>
  <si>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</si>
  <si>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</si>
  <si>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</si>
  <si>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</si>
  <si>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</si>
  <si>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</si>
  <si>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</si>
  <si>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</si>
  <si>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</si>
  <si>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</si>
  <si>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</si>
  <si>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</si>
  <si>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</si>
  <si>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</si>
  <si>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</si>
  <si>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</si>
  <si>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</si>
  <si>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</si>
  <si>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</si>
  <si>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</si>
  <si>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</si>
  <si>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</si>
  <si>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</si>
  <si>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</si>
  <si>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</si>
  <si>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</si>
  <si>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</si>
  <si>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</si>
  <si>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</si>
  <si>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</si>
  <si>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</si>
  <si>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</si>
  <si>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</si>
  <si>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</si>
  <si>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</si>
  <si>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</si>
  <si>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</si>
  <si>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</si>
  <si>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</si>
  <si>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</si>
  <si>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</si>
  <si>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</si>
  <si>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</si>
  <si>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</si>
  <si>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</si>
  <si>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</si>
  <si>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</si>
  <si>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</si>
  <si>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</si>
  <si>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</si>
  <si>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</si>
  <si>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</si>
  <si>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</si>
  <si>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</si>
  <si>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</si>
  <si>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</si>
  <si>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</si>
  <si>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</si>
  <si>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</si>
  <si>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</si>
  <si>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</si>
  <si>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</si>
  <si>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</si>
  <si>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</si>
  <si>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</si>
  <si>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</si>
  <si>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</si>
  <si>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</si>
  <si>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</si>
  <si>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</si>
  <si>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</si>
  <si>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</si>
  <si>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</si>
  <si>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</si>
  <si>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</si>
  <si>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</si>
  <si>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</si>
  <si>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</si>
  <si>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</si>
  <si>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</si>
  <si>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</si>
  <si>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</si>
  <si>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</si>
  <si>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</si>
  <si>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</si>
  <si>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</si>
  <si>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</si>
  <si>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</si>
  <si>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</si>
  <si>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</si>
  <si>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</si>
  <si>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</si>
  <si>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</si>
  <si>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</si>
  <si>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</si>
  <si>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</si>
  <si>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</si>
  <si>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</si>
  <si>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</si>
  <si>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</si>
  <si>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</si>
  <si>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</si>
  <si>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</si>
  <si>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</si>
  <si>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</si>
  <si>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</si>
  <si>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</si>
  <si>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</si>
  <si>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</si>
  <si>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</si>
  <si>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</si>
  <si>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</si>
  <si>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</si>
  <si>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</si>
  <si>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</si>
  <si>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</si>
  <si>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</si>
  <si>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</si>
  <si>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</si>
  <si>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</si>
  <si>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</si>
  <si>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</si>
  <si>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</si>
  <si>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</si>
  <si>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</si>
  <si>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</si>
  <si>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</si>
  <si>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</si>
  <si>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</si>
  <si>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</si>
  <si>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</si>
  <si>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</si>
  <si>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</si>
  <si>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</si>
  <si>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</si>
  <si>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</si>
  <si>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</si>
  <si>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</si>
  <si>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</si>
  <si>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</si>
  <si>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</si>
  <si>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</si>
  <si>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</si>
  <si>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</si>
  <si>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</si>
  <si>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</si>
  <si>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</si>
  <si>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</si>
  <si>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</si>
  <si>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</si>
  <si>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</si>
  <si>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</si>
  <si>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</si>
  <si>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</si>
  <si>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</si>
  <si>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</si>
  <si>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</si>
  <si>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</si>
  <si>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</si>
  <si>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</si>
  <si>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</si>
  <si>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</si>
  <si>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</si>
  <si>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</si>
  <si>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</si>
  <si>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</si>
  <si>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</si>
  <si>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</si>
  <si>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</si>
  <si>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</si>
  <si>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</si>
  <si>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</si>
  <si>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</si>
  <si>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</si>
  <si>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</si>
  <si>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</si>
  <si>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</si>
  <si>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</si>
  <si>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</si>
  <si>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</si>
  <si>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</si>
  <si>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</si>
  <si>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</si>
  <si>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</si>
  <si>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</si>
  <si>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</si>
  <si>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</si>
  <si>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</si>
  <si>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</si>
  <si>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</si>
  <si>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</si>
  <si>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</si>
  <si>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</si>
  <si>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</si>
  <si>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</si>
  <si>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</si>
  <si>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</si>
  <si>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</si>
  <si>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</si>
  <si>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</si>
  <si>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</si>
  <si>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</si>
  <si>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</si>
  <si>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</si>
  <si>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</si>
  <si>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</si>
  <si>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</si>
  <si>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</si>
  <si>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</si>
  <si>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</si>
  <si>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</si>
  <si>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</si>
  <si>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</si>
  <si>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</si>
  <si>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</si>
  <si>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</si>
  <si>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</si>
  <si>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</si>
  <si>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</si>
  <si>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</si>
  <si>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</si>
  <si>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</si>
  <si>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</si>
  <si>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</si>
  <si>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</si>
  <si>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</si>
  <si>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</si>
  <si>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</si>
  <si>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</si>
  <si>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</si>
  <si>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</si>
  <si>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</si>
  <si>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</si>
  <si>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</si>
  <si>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</si>
  <si>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</si>
  <si>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</si>
  <si>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</si>
  <si>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</si>
  <si>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</si>
  <si>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</si>
  <si>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</si>
  <si>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</si>
  <si>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</si>
  <si>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</si>
  <si>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</si>
  <si>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</si>
  <si>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</si>
  <si>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</si>
  <si>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</si>
  <si>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</si>
  <si>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</si>
  <si>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</si>
  <si>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</si>
  <si>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</si>
  <si>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</si>
  <si>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</si>
  <si>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</si>
  <si>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</si>
  <si>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</si>
  <si>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</si>
  <si>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</si>
  <si>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</si>
  <si>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</si>
  <si>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</si>
  <si>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</si>
  <si>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</si>
  <si>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</si>
  <si>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</si>
  <si>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</si>
  <si>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</si>
  <si>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</si>
  <si>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</si>
  <si>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</si>
  <si>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</si>
  <si>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</si>
  <si>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</si>
  <si>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</si>
  <si>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</si>
  <si>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</si>
  <si>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</si>
  <si>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</si>
  <si>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</si>
  <si>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</si>
  <si>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</si>
  <si>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</si>
  <si>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</si>
  <si>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</si>
  <si>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</si>
  <si>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</si>
  <si>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</si>
  <si>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</si>
  <si>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</si>
  <si>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</si>
  <si>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</si>
  <si>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</si>
  <si>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</si>
  <si>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</si>
  <si>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</si>
  <si>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</si>
  <si>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</si>
  <si>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</si>
  <si>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</si>
  <si>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</si>
  <si>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</si>
  <si>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</si>
  <si>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</si>
  <si>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</si>
  <si>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</si>
  <si>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</si>
  <si>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</si>
  <si>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</si>
  <si>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</si>
  <si>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</si>
  <si>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</si>
  <si>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</si>
  <si>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</si>
  <si>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</si>
  <si>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</si>
  <si>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</si>
  <si>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</si>
  <si>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</si>
  <si>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</si>
  <si>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</si>
  <si>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</si>
  <si>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</si>
  <si>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</si>
  <si>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</si>
  <si>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</si>
  <si>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</si>
  <si>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</si>
  <si>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</si>
  <si>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</si>
  <si>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</si>
  <si>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</si>
  <si>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</si>
  <si>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</si>
  <si>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</si>
  <si>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</si>
  <si>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</si>
  <si>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</si>
  <si>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</si>
  <si>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</si>
  <si>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</si>
  <si>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</si>
  <si>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</si>
  <si>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</si>
  <si>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</si>
  <si>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</si>
  <si>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</si>
  <si>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</si>
  <si>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</si>
  <si>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</si>
  <si>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</si>
  <si>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</si>
  <si>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</si>
  <si>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</si>
  <si>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</si>
  <si>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</si>
  <si>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</si>
  <si>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</si>
  <si>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</si>
  <si>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</si>
  <si>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</si>
  <si>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</si>
  <si>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</si>
  <si>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</si>
  <si>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</si>
  <si>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</si>
  <si>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</si>
  <si>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</si>
  <si>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</si>
  <si>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</si>
  <si>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</si>
  <si>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</si>
  <si>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</si>
  <si>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</si>
  <si>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</si>
  <si>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</si>
  <si>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</si>
  <si>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</si>
  <si>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</si>
  <si>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</si>
  <si>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</si>
  <si>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</si>
  <si>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</si>
  <si>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</si>
  <si>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</si>
  <si>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</si>
  <si>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</si>
  <si>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</si>
  <si>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</si>
  <si>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</si>
  <si>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</si>
  <si>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</si>
  <si>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</si>
  <si>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</si>
  <si>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</si>
  <si>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</si>
  <si>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</si>
  <si>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</si>
  <si>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</si>
  <si>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</si>
  <si>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</si>
  <si>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</si>
  <si>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</si>
  <si>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</si>
  <si>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</si>
  <si>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</si>
  <si>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</si>
  <si>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</si>
  <si>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</si>
  <si>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</si>
  <si>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</si>
  <si>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</si>
  <si>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</si>
  <si>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</si>
  <si>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</si>
  <si>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</si>
  <si>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</si>
  <si>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</si>
  <si>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</si>
  <si>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</si>
  <si>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</si>
  <si>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</si>
  <si>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</si>
  <si>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</si>
  <si>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</si>
  <si>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</si>
  <si>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</si>
  <si>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</si>
  <si>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</si>
  <si>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</si>
  <si>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</si>
  <si>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</si>
  <si>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</si>
  <si>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</si>
  <si>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</si>
  <si>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</si>
  <si>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</si>
  <si>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</si>
  <si>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</si>
  <si>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</si>
  <si>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</si>
  <si>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</si>
  <si>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</si>
  <si>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</si>
  <si>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</si>
  <si>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</si>
  <si>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</si>
  <si>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</si>
  <si>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</si>
  <si>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</si>
  <si>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</si>
  <si>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</si>
  <si>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</si>
  <si>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</si>
  <si>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</si>
  <si>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</si>
  <si>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</si>
  <si>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</si>
  <si>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</si>
  <si>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</si>
  <si>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</si>
  <si>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</si>
  <si>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</si>
  <si>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</si>
  <si>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</si>
  <si>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</si>
  <si>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</si>
  <si>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</si>
  <si>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</si>
  <si>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</si>
  <si>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</si>
  <si>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</si>
  <si>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</si>
  <si>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</si>
  <si>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</si>
  <si>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</si>
  <si>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</si>
  <si>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</si>
  <si>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</si>
  <si>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</si>
  <si>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</si>
  <si>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</si>
  <si>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</si>
  <si>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</si>
  <si>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</si>
  <si>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</si>
  <si>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</si>
  <si>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</si>
  <si>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</si>
  <si>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</si>
  <si>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</si>
  <si>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</si>
  <si>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</si>
  <si>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</si>
  <si>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</si>
  <si>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</si>
  <si>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</si>
  <si>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</si>
  <si>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</si>
  <si>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</si>
  <si>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</si>
  <si>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</si>
  <si>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</si>
  <si>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</si>
  <si>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</si>
  <si>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</si>
  <si>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</si>
  <si>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</si>
  <si>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</si>
  <si>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</si>
  <si>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</si>
  <si>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</si>
  <si>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</si>
  <si>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</si>
  <si>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</si>
  <si>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</si>
  <si>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</si>
  <si>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</si>
  <si>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</si>
  <si>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</si>
  <si>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</si>
  <si>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</si>
  <si>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</si>
  <si>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</si>
  <si>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</si>
  <si>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</si>
  <si>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</si>
  <si>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</si>
  <si>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</si>
  <si>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</si>
  <si>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</si>
  <si>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</si>
  <si>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</si>
  <si>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</si>
  <si>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</si>
  <si>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</si>
  <si>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</si>
  <si>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</si>
  <si>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</si>
  <si>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</si>
  <si>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</si>
  <si>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</si>
  <si>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</si>
  <si>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</si>
  <si>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</si>
  <si>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</si>
  <si>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</si>
  <si>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</si>
  <si>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</si>
  <si>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</si>
  <si>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</si>
  <si>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</si>
  <si>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</si>
  <si>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</si>
  <si>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</si>
  <si>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</si>
  <si>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</si>
  <si>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</si>
  <si>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</si>
  <si>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</si>
  <si>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</si>
  <si>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</si>
  <si>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</si>
  <si>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</si>
  <si>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</si>
  <si>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</si>
  <si>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</si>
  <si>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</si>
  <si>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</si>
  <si>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</si>
  <si>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</si>
  <si>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</si>
  <si>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</si>
  <si>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</si>
  <si>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</si>
  <si>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</si>
  <si>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</si>
  <si>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</si>
  <si>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</si>
  <si>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</si>
  <si>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</si>
  <si>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</si>
  <si>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</si>
  <si>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</si>
  <si>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</si>
  <si>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</si>
  <si>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</si>
  <si>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</si>
  <si>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</si>
  <si>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</si>
  <si>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</si>
  <si>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</si>
  <si>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</si>
  <si>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</si>
  <si>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</si>
  <si>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</si>
  <si>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</si>
  <si>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</si>
  <si>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</si>
  <si>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</si>
  <si>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</si>
  <si>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</si>
  <si>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</si>
  <si>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</si>
  <si>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</si>
  <si>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</si>
  <si>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</si>
  <si>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</si>
  <si>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</si>
  <si>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</si>
  <si>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</si>
  <si>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</si>
  <si>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</si>
  <si>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</si>
  <si>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</si>
  <si>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</si>
  <si>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</si>
  <si>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</si>
  <si>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</si>
  <si>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</si>
  <si>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</si>
  <si>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</si>
  <si>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</si>
  <si>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</si>
  <si>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</si>
  <si>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</si>
  <si>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</si>
  <si>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</si>
  <si>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</si>
  <si>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</si>
  <si>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</si>
  <si>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</si>
  <si>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</si>
  <si>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</si>
  <si>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</si>
  <si>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</si>
  <si>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</si>
  <si>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</si>
  <si>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</si>
  <si>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</si>
  <si>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</si>
  <si>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</si>
  <si>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</si>
  <si>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</si>
  <si>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</si>
  <si>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</si>
  <si>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</si>
  <si>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</si>
  <si>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</si>
  <si>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</si>
  <si>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</si>
  <si>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</si>
  <si>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</si>
  <si>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</si>
  <si>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</si>
  <si>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</si>
  <si>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</si>
  <si>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</si>
  <si>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</si>
  <si>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</si>
  <si>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</si>
  <si>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</si>
  <si>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</si>
  <si>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</si>
  <si>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</si>
  <si>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</si>
  <si>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</si>
  <si>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</si>
  <si>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</si>
  <si>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</si>
  <si>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</si>
  <si>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</si>
  <si>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</si>
  <si>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</si>
  <si>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</si>
  <si>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</si>
  <si>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</si>
  <si>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</si>
  <si>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</si>
  <si>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</si>
  <si>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</si>
  <si>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</si>
  <si>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</si>
  <si>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</si>
  <si>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</si>
  <si>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</si>
  <si>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</si>
  <si>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</si>
  <si>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</si>
  <si>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</si>
  <si>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</si>
  <si>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</si>
  <si>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</si>
  <si>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</si>
  <si>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</si>
  <si>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</si>
  <si>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</si>
  <si>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</si>
  <si>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</si>
  <si>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</si>
  <si>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</si>
  <si>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</si>
  <si>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</si>
  <si>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</si>
  <si>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</si>
  <si>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</si>
  <si>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</si>
  <si>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</si>
  <si>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</si>
  <si>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</si>
  <si>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</si>
  <si>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</si>
  <si>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</si>
  <si>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</si>
  <si>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</si>
  <si>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</si>
  <si>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</si>
  <si>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</si>
  <si>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</si>
  <si>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</si>
  <si>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</si>
  <si>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</si>
  <si>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</si>
  <si>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</si>
  <si>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</si>
  <si>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</si>
  <si>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</si>
  <si>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</si>
  <si>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</si>
  <si>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</si>
  <si>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</si>
  <si>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</si>
  <si>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</si>
  <si>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</si>
  <si>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</si>
  <si>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</si>
  <si>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</si>
  <si>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</si>
  <si>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</si>
  <si>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</si>
  <si>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</si>
  <si>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</si>
  <si>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</si>
  <si>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</si>
  <si>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</si>
  <si>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</si>
  <si>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</si>
  <si>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</si>
  <si>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</si>
  <si>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</si>
  <si>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</si>
  <si>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</si>
  <si>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</si>
  <si>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</si>
  <si>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</si>
  <si>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</si>
  <si>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</si>
  <si>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</si>
  <si>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</si>
  <si>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</si>
  <si>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</si>
  <si>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</si>
  <si>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</si>
  <si>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</si>
  <si>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</si>
  <si>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</si>
  <si>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</si>
  <si>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</si>
  <si>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</si>
  <si>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</si>
  <si>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</si>
  <si>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</si>
  <si>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</si>
  <si>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</si>
  <si>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</si>
  <si>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</si>
  <si>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</si>
  <si>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</si>
  <si>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</si>
  <si>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</si>
  <si>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</si>
  <si>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</si>
  <si>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</si>
  <si>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</si>
  <si>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</si>
  <si>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</si>
  <si>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</si>
  <si>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</si>
  <si>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</si>
  <si>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</si>
  <si>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</si>
  <si>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</si>
  <si>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</si>
  <si>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</si>
  <si>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</si>
  <si>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</si>
  <si>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</si>
  <si>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</si>
  <si>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</si>
  <si>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</si>
  <si>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</si>
  <si>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</si>
  <si>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</si>
  <si>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</si>
  <si>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</si>
  <si>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</si>
  <si>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</si>
  <si>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</si>
  <si>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</si>
  <si>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</si>
  <si>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</si>
  <si>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</si>
  <si>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</si>
  <si>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</si>
  <si>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</si>
  <si>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</si>
  <si>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</si>
  <si>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</si>
  <si>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</si>
  <si>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</si>
  <si>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</si>
  <si>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</si>
  <si>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</si>
  <si>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</si>
  <si>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</si>
  <si>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</si>
  <si>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</si>
  <si>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</si>
  <si>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</si>
  <si>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</si>
  <si>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</si>
  <si>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</si>
  <si>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</si>
  <si>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</si>
  <si>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</si>
  <si>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</si>
  <si>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</si>
  <si>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</si>
  <si>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</si>
  <si>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</si>
  <si>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</si>
  <si>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</si>
  <si>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</si>
  <si>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</si>
  <si>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</si>
  <si>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</si>
  <si>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</si>
  <si>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</si>
  <si>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</si>
  <si>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</si>
  <si>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</si>
  <si>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</si>
  <si>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</si>
  <si>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</si>
  <si>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</si>
  <si>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</si>
  <si>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</si>
  <si>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</si>
  <si>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</si>
  <si>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</si>
  <si>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</si>
  <si>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</si>
  <si>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</si>
  <si>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</si>
  <si>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</si>
  <si>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</si>
  <si>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</si>
  <si>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</si>
  <si>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</si>
  <si>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</si>
  <si>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</si>
  <si>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</si>
  <si>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</si>
  <si>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</si>
  <si>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</si>
  <si>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</si>
  <si>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</si>
  <si>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</si>
  <si>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</si>
  <si>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</si>
  <si>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</si>
  <si>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</si>
  <si>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</si>
  <si>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</si>
  <si>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</si>
  <si>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</si>
  <si>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</si>
  <si>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</si>
  <si>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</si>
  <si>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</si>
  <si>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</si>
  <si>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</si>
  <si>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</si>
  <si>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</si>
  <si>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</si>
  <si>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</si>
  <si>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</si>
  <si>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</si>
  <si>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</si>
  <si>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</si>
  <si>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</si>
  <si>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</si>
  <si>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</si>
  <si>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</si>
  <si>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</si>
  <si>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</si>
  <si>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</si>
  <si>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</si>
  <si>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</si>
  <si>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</si>
  <si>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</si>
  <si>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</si>
  <si>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</si>
  <si>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</si>
  <si>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</si>
  <si>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</si>
  <si>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</si>
  <si>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</si>
  <si>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</si>
  <si>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</si>
  <si>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</si>
  <si>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</si>
  <si>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</si>
  <si>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</si>
  <si>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</si>
  <si>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</si>
  <si>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</si>
  <si>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</si>
  <si>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</si>
  <si>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</si>
  <si>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</si>
  <si>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</si>
  <si>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</si>
  <si>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</si>
  <si>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</si>
  <si>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</si>
  <si>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</si>
  <si>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</si>
  <si>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</si>
  <si>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</si>
  <si>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</si>
  <si>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</si>
  <si>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</si>
  <si>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</si>
  <si>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</si>
  <si>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</si>
  <si>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</si>
  <si>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</si>
  <si>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</si>
  <si>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</si>
  <si>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</si>
  <si>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</si>
  <si>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</si>
  <si>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</si>
  <si>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</si>
  <si>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</si>
  <si>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</si>
  <si>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</si>
  <si>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</si>
  <si>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</si>
  <si>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</si>
  <si>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</si>
  <si>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</si>
  <si>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</si>
  <si>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</si>
  <si>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</si>
  <si>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</si>
  <si>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</si>
  <si>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</si>
  <si>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</si>
  <si>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</si>
  <si>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</si>
  <si>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</si>
  <si>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</si>
  <si>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</si>
  <si>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</si>
  <si>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</si>
  <si>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</si>
  <si>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</si>
  <si>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</si>
  <si>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</si>
  <si>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</si>
  <si>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</si>
  <si>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</si>
  <si>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</si>
  <si>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</si>
  <si>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</si>
  <si>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</si>
  <si>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</si>
  <si>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</si>
  <si>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</si>
  <si>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</si>
  <si>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</si>
  <si>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</si>
  <si>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</si>
  <si>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</si>
  <si>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</si>
  <si>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</si>
  <si>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</si>
  <si>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</si>
  <si>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</si>
  <si>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</si>
  <si>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</si>
  <si>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</si>
  <si>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</si>
  <si>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</si>
  <si>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</si>
  <si>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</si>
  <si>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</si>
  <si>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</si>
  <si>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</si>
  <si>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</si>
  <si>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</si>
  <si>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</si>
  <si>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</si>
  <si>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</si>
  <si>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</si>
  <si>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</si>
  <si>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</si>
  <si>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</si>
  <si>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</si>
  <si>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</si>
  <si>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</si>
  <si>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</si>
  <si>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</si>
  <si>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</si>
  <si>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</si>
  <si>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</si>
  <si>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</si>
  <si>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</si>
  <si>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</si>
  <si>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</si>
  <si>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</si>
  <si>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</si>
  <si>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</si>
  <si>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</si>
  <si>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</si>
  <si>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</si>
  <si>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</si>
  <si>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</si>
  <si>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</si>
  <si>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</si>
  <si>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</si>
  <si>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</si>
  <si>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</si>
  <si>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</si>
  <si>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</si>
  <si>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</si>
  <si>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</si>
  <si>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</si>
  <si>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</si>
  <si>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</si>
  <si>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</si>
  <si>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</si>
  <si>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</si>
  <si>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</si>
  <si>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</si>
  <si>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</si>
  <si>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</si>
  <si>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</si>
  <si>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</si>
  <si>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</si>
  <si>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</si>
  <si>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</si>
  <si>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</si>
  <si>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</si>
  <si>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</si>
  <si>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</si>
  <si>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</si>
  <si>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</si>
  <si>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</si>
  <si>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</si>
  <si>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</si>
  <si>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</si>
  <si>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</si>
  <si>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</si>
  <si>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</si>
  <si>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</si>
  <si>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</si>
  <si>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</si>
  <si>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</si>
  <si>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</si>
  <si>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</si>
  <si>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</si>
  <si>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</si>
  <si>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</si>
  <si>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</si>
  <si>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</si>
  <si>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</si>
  <si>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</si>
  <si>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</si>
  <si>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</si>
  <si>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</si>
  <si>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</si>
  <si>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</si>
  <si>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</si>
  <si>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</si>
  <si>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</si>
  <si>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</si>
  <si>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</si>
  <si>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</si>
  <si>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</si>
  <si>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</si>
  <si>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</si>
  <si>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</si>
  <si>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</si>
  <si>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</si>
  <si>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</si>
  <si>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</si>
  <si>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</si>
  <si>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</si>
  <si>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</si>
  <si>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</si>
  <si>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</si>
  <si>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</si>
  <si>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</si>
  <si>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</si>
  <si>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</si>
  <si>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</si>
  <si>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</si>
  <si>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</si>
  <si>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</si>
  <si>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</si>
  <si>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</si>
  <si>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</si>
  <si>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</si>
  <si>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</si>
  <si>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</si>
  <si>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</si>
  <si>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</si>
  <si>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</si>
  <si>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</si>
  <si>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</si>
  <si>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</si>
  <si>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</si>
  <si>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</si>
  <si>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</si>
  <si>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</si>
  <si>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</si>
  <si>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</si>
  <si>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</si>
  <si>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</si>
  <si>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</si>
  <si>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</si>
  <si>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</si>
  <si>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</si>
  <si>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</si>
  <si>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</si>
  <si>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</si>
  <si>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</si>
  <si>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</si>
  <si>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</si>
  <si>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</si>
  <si>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</si>
  <si>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</si>
  <si>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</si>
  <si>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</si>
  <si>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</si>
  <si>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</si>
  <si>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</si>
  <si>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</si>
  <si>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</si>
  <si>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</si>
  <si>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</si>
  <si>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</si>
  <si>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</si>
  <si>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</si>
  <si>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</si>
  <si>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</si>
  <si>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</si>
  <si>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</si>
  <si>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</si>
  <si>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</si>
  <si>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</si>
  <si>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</si>
  <si>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</si>
  <si>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</si>
  <si>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</si>
  <si>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</si>
  <si>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</si>
  <si>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</si>
  <si>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</si>
  <si>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</si>
  <si>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</si>
  <si>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</si>
  <si>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</si>
  <si>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</si>
  <si>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</si>
  <si>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</si>
  <si>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</si>
  <si>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</si>
  <si>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</si>
  <si>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</si>
  <si>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</si>
  <si>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</si>
  <si>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</si>
  <si>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</si>
  <si>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</si>
  <si>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</si>
  <si>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</si>
  <si>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</si>
  <si>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</si>
  <si>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</si>
  <si>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</si>
  <si>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</si>
  <si>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</si>
  <si>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</si>
  <si>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</si>
  <si>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</si>
  <si>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</si>
  <si>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</si>
  <si>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</si>
  <si>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</si>
  <si>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</si>
  <si>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</si>
  <si>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</si>
  <si>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</si>
  <si>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</si>
  <si>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</si>
  <si>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</si>
  <si>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</si>
  <si>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</si>
  <si>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</si>
  <si>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</si>
  <si>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</si>
  <si>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</si>
  <si>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</si>
  <si>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</si>
  <si>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</si>
  <si>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</si>
  <si>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</si>
  <si>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</si>
  <si>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</si>
  <si>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</si>
  <si>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</si>
  <si>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</si>
  <si>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</si>
  <si>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</si>
  <si>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</si>
  <si>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</si>
  <si>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</si>
  <si>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</si>
  <si>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</si>
  <si>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</si>
  <si>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</si>
  <si>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</si>
  <si>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</si>
  <si>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</si>
  <si>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</si>
  <si>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</si>
  <si>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</si>
  <si>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</si>
  <si>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</si>
  <si>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</si>
  <si>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</si>
  <si>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</si>
  <si>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</si>
  <si>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</si>
  <si>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</si>
  <si>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</si>
  <si>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</si>
  <si>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</si>
  <si>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</si>
  <si>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</si>
  <si>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</si>
  <si>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</si>
  <si>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</si>
  <si>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</si>
  <si>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</si>
  <si>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</si>
  <si>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</si>
  <si>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</si>
  <si>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</si>
  <si>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</si>
  <si>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</si>
  <si>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</si>
  <si>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</si>
  <si>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</si>
  <si>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</si>
  <si>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</si>
  <si>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</si>
  <si>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</si>
  <si>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</si>
  <si>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</si>
  <si>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</si>
  <si>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</si>
  <si>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</si>
  <si>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</si>
  <si>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</si>
  <si>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</si>
  <si>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</si>
  <si>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</si>
  <si>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</si>
  <si>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</si>
  <si>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</si>
  <si>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</si>
  <si>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</si>
  <si>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</si>
  <si>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</si>
  <si>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</si>
  <si>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</si>
  <si>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</si>
  <si>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</si>
  <si>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</si>
  <si>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</si>
  <si>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</si>
  <si>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</si>
  <si>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</si>
  <si>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</si>
  <si>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</si>
  <si>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</si>
  <si>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</si>
  <si>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</si>
  <si>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</si>
  <si>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</si>
  <si>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</si>
  <si>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</si>
  <si>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</si>
  <si>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</si>
  <si>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</si>
  <si>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</si>
  <si>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</si>
  <si>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</si>
  <si>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</si>
  <si>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</si>
  <si>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</si>
  <si>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</si>
  <si>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</si>
  <si>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</si>
  <si>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</si>
  <si>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</si>
  <si>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</si>
  <si>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</si>
  <si>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</si>
  <si>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</si>
  <si>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</si>
  <si>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</si>
  <si>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</si>
  <si>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</si>
  <si>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</si>
  <si>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</si>
  <si>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</si>
  <si>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</si>
  <si>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</si>
  <si>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</si>
  <si>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</si>
  <si>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</si>
  <si>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</si>
  <si>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</si>
  <si>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</si>
  <si>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</si>
  <si>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</si>
  <si>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</si>
  <si>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</si>
  <si>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</si>
  <si>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</si>
  <si>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</si>
  <si>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</si>
  <si>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</si>
  <si>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</si>
  <si>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</si>
  <si>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</si>
  <si>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</si>
  <si>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</si>
  <si>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</si>
  <si>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</si>
  <si>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</si>
  <si>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</si>
  <si>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</si>
  <si>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</si>
  <si>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</si>
  <si>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</si>
  <si>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</si>
  <si>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</si>
  <si>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</si>
  <si>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</si>
  <si>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</si>
  <si>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</si>
  <si>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</si>
  <si>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</si>
  <si>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</si>
  <si>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</si>
  <si>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</si>
  <si>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</si>
  <si>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</si>
  <si>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</si>
  <si>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</si>
  <si>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</si>
  <si>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</si>
  <si>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</si>
  <si>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</si>
  <si>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</si>
  <si>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</si>
  <si>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</si>
  <si>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</si>
  <si>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</si>
  <si>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</si>
  <si>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</si>
  <si>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</si>
  <si>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</si>
  <si>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</si>
  <si>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</si>
  <si>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</si>
  <si>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</si>
  <si>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</si>
  <si>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</si>
  <si>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</si>
  <si>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</si>
  <si>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</si>
  <si>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</si>
  <si>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</si>
  <si>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</si>
  <si>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</si>
  <si>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</si>
  <si>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</si>
  <si>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</si>
  <si>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</si>
  <si>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</si>
  <si>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</si>
  <si>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</si>
  <si>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</si>
  <si>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</si>
  <si>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</si>
  <si>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</si>
  <si>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</si>
  <si>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</si>
  <si>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</si>
  <si>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</si>
  <si>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</si>
  <si>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</si>
  <si>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</si>
  <si>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</si>
  <si>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</si>
  <si>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</si>
  <si>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</si>
  <si>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</si>
  <si>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</si>
  <si>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</si>
  <si>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</si>
  <si>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</si>
  <si>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</si>
  <si>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</si>
  <si>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</si>
  <si>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</si>
  <si>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</si>
  <si>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</si>
  <si>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</si>
  <si>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</si>
  <si>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</si>
  <si>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</si>
  <si>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</si>
  <si>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</si>
  <si>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</si>
  <si>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</si>
  <si>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</si>
  <si>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</si>
  <si>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</si>
  <si>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</si>
  <si>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</si>
  <si>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</si>
  <si>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</si>
  <si>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</si>
  <si>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</si>
  <si>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</si>
  <si>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</si>
  <si>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</si>
  <si>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</si>
  <si>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</si>
  <si>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</si>
  <si>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</si>
  <si>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</si>
  <si>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</si>
  <si>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</si>
  <si>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</si>
  <si>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</si>
  <si>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</si>
  <si>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</si>
  <si>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</si>
  <si>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</si>
  <si>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</si>
  <si>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</si>
  <si>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</si>
  <si>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</si>
  <si>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</si>
  <si>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</si>
  <si>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</si>
  <si>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</si>
  <si>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</si>
  <si>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</si>
  <si>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</si>
  <si>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</si>
  <si>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</si>
  <si>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</si>
  <si>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</si>
  <si>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</si>
  <si>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</si>
  <si>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</si>
  <si>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</si>
  <si>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</si>
  <si>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</si>
  <si>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</si>
  <si>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</si>
  <si>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</si>
  <si>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</si>
  <si>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</si>
  <si>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</si>
  <si>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</si>
  <si>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</si>
  <si>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</si>
  <si>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</si>
  <si>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</si>
  <si>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</si>
  <si>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</si>
  <si>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</si>
  <si>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</si>
  <si>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</si>
  <si>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</si>
  <si>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</si>
  <si>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</si>
  <si>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</si>
  <si>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</si>
  <si>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</si>
  <si>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</si>
  <si>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</si>
  <si>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</si>
  <si>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</si>
  <si>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</si>
  <si>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</si>
  <si>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</si>
  <si>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</si>
  <si>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</si>
  <si>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</si>
  <si>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</si>
  <si>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</si>
  <si>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</si>
  <si>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</si>
  <si>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</si>
  <si>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</si>
  <si>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</si>
  <si>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</si>
  <si>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</si>
  <si>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</si>
  <si>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</si>
  <si>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</si>
  <si>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</si>
  <si>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</si>
  <si>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</si>
  <si>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</si>
  <si>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</si>
  <si>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</si>
  <si>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</si>
  <si>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</si>
  <si>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</si>
  <si>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</si>
  <si>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</si>
  <si>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</si>
  <si>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</si>
  <si>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</si>
  <si>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</si>
  <si>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</si>
  <si>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</si>
  <si>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</si>
  <si>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</si>
  <si>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</si>
  <si>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</si>
  <si>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</si>
  <si>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</si>
  <si>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</si>
  <si>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</si>
  <si>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</si>
  <si>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</si>
  <si>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</si>
  <si>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</si>
  <si>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</si>
  <si>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</si>
  <si>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</si>
  <si>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</si>
  <si>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</si>
  <si>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</si>
  <si>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</si>
  <si>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</si>
  <si>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</si>
  <si>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</si>
  <si>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</si>
  <si>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</si>
  <si>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</si>
  <si>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</si>
  <si>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</si>
  <si>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</si>
  <si>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</si>
  <si>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</si>
  <si>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</si>
  <si>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</si>
  <si>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</si>
  <si>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</si>
  <si>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</si>
  <si>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</si>
  <si>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</si>
  <si>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</si>
  <si>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</si>
  <si>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</si>
  <si>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</si>
  <si>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</si>
  <si>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</si>
  <si>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</si>
  <si>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</si>
  <si>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</si>
  <si>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</si>
  <si>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</si>
  <si>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</si>
  <si>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</si>
  <si>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</si>
  <si>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</si>
  <si>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</si>
  <si>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</si>
  <si>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</si>
  <si>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</si>
  <si>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</si>
  <si>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</si>
  <si>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</si>
  <si>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</si>
  <si>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</si>
  <si>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</si>
  <si>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</si>
  <si>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</si>
  <si>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</si>
  <si>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</si>
  <si>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</si>
  <si>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</si>
  <si>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</si>
  <si>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</si>
  <si>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</si>
  <si>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</si>
  <si>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</si>
  <si>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</si>
  <si>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</si>
  <si>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</si>
  <si>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</si>
  <si>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</si>
  <si>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</si>
  <si>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</si>
  <si>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</si>
  <si>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</si>
  <si>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</si>
  <si>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</si>
  <si>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</si>
  <si>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</si>
  <si>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</si>
  <si>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</si>
  <si>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</si>
  <si>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</si>
  <si>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</si>
  <si>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</si>
  <si>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</si>
  <si>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</si>
  <si>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</si>
  <si>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</si>
  <si>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</si>
  <si>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</si>
  <si>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</si>
  <si>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</si>
  <si>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</si>
  <si>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</si>
  <si>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</si>
  <si>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</si>
  <si>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</si>
  <si>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</si>
  <si>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</si>
  <si>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</si>
  <si>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</si>
  <si>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</si>
  <si>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</si>
  <si>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</si>
  <si>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</si>
  <si>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</si>
  <si>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</si>
  <si>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</si>
  <si>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</si>
  <si>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</si>
  <si>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</si>
  <si>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</si>
  <si>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</si>
  <si>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</si>
  <si>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</si>
  <si>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</si>
  <si>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</si>
  <si>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</si>
  <si>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</si>
  <si>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</si>
  <si>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</si>
  <si>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</si>
  <si>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</si>
  <si>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</si>
  <si>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</si>
  <si>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</si>
  <si>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</si>
  <si>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</si>
  <si>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</si>
  <si>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</si>
  <si>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</si>
  <si>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</si>
  <si>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</si>
  <si>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</si>
  <si>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</si>
  <si>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</si>
  <si>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</si>
  <si>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</si>
  <si>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</si>
  <si>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</si>
  <si>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</si>
  <si>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</si>
  <si>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</si>
  <si>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</si>
  <si>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</si>
  <si>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</si>
  <si>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</si>
  <si>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</si>
  <si>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</si>
  <si>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</si>
  <si>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</si>
  <si>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</si>
  <si>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</si>
  <si>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</si>
  <si>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</si>
  <si>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</si>
  <si>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</si>
  <si>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</si>
  <si>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</si>
  <si>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</si>
  <si>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</si>
  <si>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</si>
  <si>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</si>
  <si>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</si>
  <si>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</si>
  <si>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</si>
  <si>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</si>
  <si>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</si>
  <si>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</si>
  <si>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</si>
  <si>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</si>
  <si>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</si>
  <si>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</si>
  <si>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</si>
  <si>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</si>
  <si>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</si>
  <si>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</si>
  <si>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</si>
  <si>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</si>
  <si>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</si>
  <si>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</si>
  <si>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</si>
  <si>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</si>
  <si>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</si>
  <si>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</si>
  <si>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</si>
  <si>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</si>
  <si>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</si>
  <si>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</si>
  <si>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</si>
  <si>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</si>
  <si>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</si>
  <si>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</si>
  <si>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</si>
  <si>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</si>
  <si>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</si>
  <si>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</si>
  <si>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</si>
  <si>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</si>
  <si>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</si>
  <si>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</si>
  <si>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</si>
  <si>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</si>
  <si>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</si>
  <si>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</si>
  <si>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</si>
  <si>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</si>
  <si>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</si>
  <si>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</si>
  <si>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</si>
  <si>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</si>
  <si>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</si>
  <si>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</si>
  <si>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</si>
  <si>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</si>
  <si>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</si>
  <si>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</si>
  <si>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</si>
  <si>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</si>
  <si>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</si>
  <si>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</si>
  <si>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</si>
  <si>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</si>
  <si>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</si>
  <si>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</si>
  <si>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</si>
  <si>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</si>
  <si>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</si>
  <si>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</si>
  <si>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</si>
  <si>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</si>
  <si>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</si>
  <si>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</si>
  <si>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</si>
  <si>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</si>
  <si>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</si>
  <si>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</si>
  <si>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</si>
  <si>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</si>
  <si>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</si>
  <si>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</si>
  <si>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</si>
  <si>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</si>
  <si>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</si>
  <si>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</si>
  <si>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</si>
  <si>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</si>
  <si>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</si>
  <si>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</si>
  <si>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</si>
  <si>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</si>
  <si>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</si>
  <si>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</si>
  <si>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</si>
  <si>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</si>
  <si>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</si>
  <si>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</si>
  <si>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</si>
  <si>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</si>
  <si>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</si>
  <si>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</si>
  <si>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</si>
  <si>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</si>
  <si>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</si>
  <si>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</si>
  <si>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</si>
  <si>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</si>
  <si>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</si>
  <si>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</si>
  <si>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</si>
  <si>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</si>
  <si>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</si>
  <si>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</si>
  <si>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</si>
  <si>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</si>
  <si>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</si>
  <si>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</si>
  <si>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</si>
  <si>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</si>
  <si>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</si>
  <si>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</si>
  <si>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</si>
  <si>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</si>
  <si>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</si>
  <si>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</si>
  <si>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</si>
  <si>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</si>
  <si>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</si>
  <si>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</si>
  <si>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</si>
  <si>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</si>
  <si>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</si>
  <si>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</si>
  <si>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</si>
  <si>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</si>
  <si>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</si>
  <si>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</si>
  <si>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</si>
  <si>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</si>
  <si>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</si>
  <si>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</si>
  <si>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</si>
  <si>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</si>
  <si>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</si>
  <si>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</si>
  <si>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</si>
  <si>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</si>
  <si>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</si>
  <si>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</si>
  <si>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</si>
  <si>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</si>
  <si>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</si>
  <si>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</si>
  <si>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</si>
  <si>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</si>
  <si>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</si>
  <si>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</si>
  <si>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</si>
  <si>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</si>
  <si>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</si>
  <si>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</si>
  <si>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</si>
  <si>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</si>
  <si>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</si>
  <si>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</si>
  <si>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</si>
  <si>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</si>
  <si>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</si>
  <si>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</si>
  <si>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</si>
  <si>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</si>
  <si>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</si>
  <si>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</si>
  <si>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</si>
  <si>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</si>
  <si>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</si>
  <si>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</si>
  <si>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</si>
  <si>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</si>
  <si>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</si>
  <si>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</si>
  <si>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</si>
  <si>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</si>
  <si>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</si>
  <si>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</si>
  <si>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</si>
  <si>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Johnson, Alexander, Massac, Pulaski, Union</t>
  </si>
  <si>
    <t>Second &amp; Washington Street</t>
  </si>
  <si>
    <t>Tamms</t>
  </si>
  <si>
    <t>patrictharner@fivecountyrvs.com</t>
  </si>
  <si>
    <t>Beussink, Hey, Roe &amp; Stroder, L.L.C.</t>
  </si>
  <si>
    <t>Jeffrey C. Stroder, CPA</t>
  </si>
  <si>
    <t>16 South Silver Springs Road</t>
  </si>
  <si>
    <t>Cape Girardeau</t>
  </si>
  <si>
    <t>MO</t>
  </si>
  <si>
    <t>573-334-7971</t>
  </si>
  <si>
    <t>573-334-8875</t>
  </si>
  <si>
    <t>066-003889</t>
  </si>
  <si>
    <t>jstroder@bhrcpas.com</t>
  </si>
  <si>
    <t>Page 10, Line 107 - Fund 10 - Other Local Revenues (1999):</t>
  </si>
  <si>
    <t>Union County CEO Program</t>
  </si>
  <si>
    <t>Page 13, Line 220 - Fund 10 - CTE Other (4799):</t>
  </si>
  <si>
    <t>V.E. Perkins - Title IIC Secondary (4745)</t>
  </si>
  <si>
    <t>Erate Funding</t>
  </si>
  <si>
    <t>The financial statements are presented in a format that complies with regulatory provisions by the Illinois State Board of Education, whose practices differ from accounting principles generally accepted in the United States of America.  In addiiton, the notes to the financial statements do not inculude the note disclosures required by GASB Statement No. 75 for one of the school's two defined contribution OPEB plans.</t>
  </si>
  <si>
    <t>2018-001</t>
  </si>
  <si>
    <t xml:space="preserve">Actual expenditures of Educational Fund exceeded </t>
  </si>
  <si>
    <t>budgetary limits by $13,722.</t>
  </si>
  <si>
    <t xml:space="preserve">                                      Implemented</t>
  </si>
  <si>
    <t>Page 7, Line 43 - Fund 10 - Other Sources Received (7990):</t>
  </si>
  <si>
    <t xml:space="preserve">Five County Reg Voc System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</si>
</sst>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181" fontId="55" fillId="0" borderId="165" xfId="19" applyNumberFormat="1" applyFont="1" applyBorder="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857250</xdr:colOff>
          <xdr:row>8</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1" t="s">
        <v>405</v>
      </c>
      <c r="J1" s="1982"/>
      <c r="K1" s="1982"/>
      <c r="L1" s="1982"/>
      <c r="M1" s="1982"/>
      <c r="N1" s="1982"/>
      <c r="O1" s="1982"/>
      <c r="P1" s="1982"/>
      <c r="Q1" s="1982"/>
      <c r="R1" s="1982"/>
      <c r="S1" s="1982"/>
    </row>
    <row r="2" spans="1:28" ht="12" customHeight="1" x14ac:dyDescent="0.2">
      <c r="A2" s="47" t="s">
        <v>1993</v>
      </c>
      <c r="D2" s="48"/>
      <c r="I2" s="1983" t="s">
        <v>979</v>
      </c>
      <c r="J2" s="1982"/>
      <c r="K2" s="1982"/>
      <c r="L2" s="1982"/>
      <c r="M2" s="1982"/>
      <c r="N2" s="1982"/>
      <c r="O2" s="1982"/>
      <c r="P2" s="1982"/>
      <c r="Q2" s="1982"/>
      <c r="R2" s="1982"/>
      <c r="S2" s="1982"/>
    </row>
    <row r="3" spans="1:28" ht="12" customHeight="1" x14ac:dyDescent="0.2">
      <c r="A3" s="155" t="s">
        <v>1945</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c r="C5" s="26" t="s">
        <v>910</v>
      </c>
      <c r="D5" s="84"/>
      <c r="E5" s="84"/>
      <c r="H5" s="38"/>
      <c r="I5" s="1991" t="s">
        <v>680</v>
      </c>
      <c r="J5" s="1990"/>
      <c r="K5" s="1990"/>
      <c r="L5" s="1990"/>
      <c r="M5" s="1990"/>
      <c r="N5" s="1990"/>
      <c r="O5" s="1990"/>
      <c r="P5" s="1990"/>
      <c r="Q5" s="1990"/>
      <c r="R5" s="1990"/>
      <c r="S5" s="1990"/>
    </row>
    <row r="6" spans="1:28" ht="14.1" customHeight="1" x14ac:dyDescent="0.2">
      <c r="B6" s="104" t="s">
        <v>2064</v>
      </c>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2064</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30002748045</v>
      </c>
      <c r="B13" s="2017"/>
      <c r="C13" s="2017"/>
      <c r="D13" s="2017"/>
      <c r="E13" s="2017"/>
      <c r="F13" s="2017"/>
      <c r="G13" s="2017"/>
      <c r="H13" s="2018"/>
      <c r="I13" s="31"/>
      <c r="J13" s="30"/>
      <c r="K13" s="28"/>
      <c r="L13" s="30"/>
      <c r="M13" s="30"/>
      <c r="N13" s="30"/>
      <c r="O13" s="30"/>
      <c r="P13" s="30"/>
      <c r="Q13" s="30"/>
      <c r="R13" s="30"/>
      <c r="S13" s="30"/>
      <c r="T13" s="2021" t="s">
        <v>2069</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2065</v>
      </c>
      <c r="B15" s="2019"/>
      <c r="C15" s="2019"/>
      <c r="D15" s="2019"/>
      <c r="E15" s="2019"/>
      <c r="F15" s="2019"/>
      <c r="G15" s="2019"/>
      <c r="H15" s="2020"/>
      <c r="T15" s="2025" t="s">
        <v>2070</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2089</v>
      </c>
      <c r="B17" s="1976"/>
      <c r="C17" s="1976"/>
      <c r="D17" s="1976"/>
      <c r="E17" s="1976"/>
      <c r="F17" s="1976"/>
      <c r="G17" s="1976"/>
      <c r="H17" s="2001"/>
      <c r="T17" s="2032" t="s">
        <v>2071</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2066</v>
      </c>
      <c r="B19" s="1961"/>
      <c r="C19" s="1961"/>
      <c r="D19" s="1961"/>
      <c r="E19" s="1961"/>
      <c r="F19" s="1961"/>
      <c r="G19" s="1961"/>
      <c r="H19" s="1941"/>
      <c r="I19" s="30"/>
      <c r="J19" s="99"/>
      <c r="K19" s="40"/>
      <c r="L19" s="38"/>
      <c r="M19" s="112" t="s">
        <v>315</v>
      </c>
      <c r="P19" s="27"/>
      <c r="Q19" s="27"/>
      <c r="R19" s="27"/>
      <c r="S19" s="31"/>
      <c r="T19" s="2015" t="s">
        <v>2072</v>
      </c>
      <c r="U19" s="1940"/>
      <c r="V19" s="1940"/>
      <c r="W19" s="1941"/>
      <c r="X19" s="2030" t="s">
        <v>2073</v>
      </c>
      <c r="Y19" s="2031"/>
      <c r="Z19" s="2028">
        <v>63703</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2067</v>
      </c>
      <c r="B21" s="1940"/>
      <c r="C21" s="1940"/>
      <c r="D21" s="1940"/>
      <c r="E21" s="1940"/>
      <c r="F21" s="1940"/>
      <c r="G21" s="1940"/>
      <c r="H21" s="1941"/>
      <c r="I21" s="1995" t="s">
        <v>678</v>
      </c>
      <c r="J21" s="1990"/>
      <c r="K21" s="1990"/>
      <c r="L21" s="1990"/>
      <c r="M21" s="1990"/>
      <c r="N21" s="1990"/>
      <c r="O21" s="1990"/>
      <c r="P21" s="1990"/>
      <c r="Q21" s="1990"/>
      <c r="R21" s="1990"/>
      <c r="S21" s="1996"/>
      <c r="T21" s="2039" t="s">
        <v>2074</v>
      </c>
      <c r="U21" s="2040"/>
      <c r="V21" s="2040"/>
      <c r="W21" s="2040"/>
      <c r="X21" s="2045" t="s">
        <v>2075</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2068</v>
      </c>
      <c r="B23" s="1993"/>
      <c r="C23" s="1993"/>
      <c r="D23" s="1993"/>
      <c r="E23" s="1993"/>
      <c r="F23" s="1993"/>
      <c r="G23" s="1993"/>
      <c r="H23" s="1994"/>
      <c r="T23" s="1975" t="s">
        <v>2076</v>
      </c>
      <c r="U23" s="2038"/>
      <c r="V23" s="2038"/>
      <c r="W23" s="2038"/>
      <c r="X23" s="2042">
        <v>44530</v>
      </c>
      <c r="Y23" s="2043"/>
      <c r="Z23" s="2043"/>
      <c r="AA23" s="2044"/>
    </row>
    <row r="24" spans="1:27" ht="14.1" customHeight="1" x14ac:dyDescent="0.2">
      <c r="A24" s="88" t="s">
        <v>677</v>
      </c>
      <c r="B24" s="49"/>
      <c r="C24" s="49"/>
      <c r="D24" s="49"/>
      <c r="E24" s="49"/>
      <c r="F24" s="49"/>
      <c r="G24" s="49"/>
      <c r="H24" s="61"/>
      <c r="J24" s="1962" t="str">
        <f>IF(B5="x",IF(AUDITCHECK!D29="AFR form Incomplete.","",IF(AUDITCHECK!D29="Deficit reduction plan is required.","School District must complete a deficit reduction plan in the 2019-2020 Budget",)),"")</f>
        <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62988</v>
      </c>
      <c r="B25" s="1940"/>
      <c r="C25" s="1940"/>
      <c r="D25" s="1940"/>
      <c r="E25" s="1940"/>
      <c r="F25" s="1940"/>
      <c r="G25" s="1940"/>
      <c r="H25" s="1941"/>
      <c r="I25" s="113"/>
      <c r="J25" s="1964"/>
      <c r="K25" s="1964"/>
      <c r="L25" s="1964"/>
      <c r="M25" s="1964"/>
      <c r="N25" s="1964"/>
      <c r="O25" s="1964"/>
      <c r="P25" s="1964"/>
      <c r="Q25" s="1964"/>
      <c r="R25" s="1964"/>
      <c r="S25" s="1965"/>
      <c r="T25" s="2035" t="s">
        <v>2077</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c r="B42" s="1959"/>
      <c r="C42" s="1960"/>
      <c r="D42" s="1958"/>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5" sqref="C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1951</v>
      </c>
      <c r="C2" s="714" t="s">
        <v>1952</v>
      </c>
      <c r="D2" s="714" t="s">
        <v>1953</v>
      </c>
      <c r="E2" s="714" t="s">
        <v>1954</v>
      </c>
      <c r="F2" s="714" t="s">
        <v>1955</v>
      </c>
    </row>
    <row r="3" spans="1:6" ht="12" customHeight="1" x14ac:dyDescent="0.2">
      <c r="A3" s="2182"/>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orizontalCentered="1" headings="1" gridLinesSet="0"/>
  <pageMargins left="0.25" right="0.15" top="1.65" bottom="0.52" header="0.44" footer="0.35"/>
  <pageSetup scale="90"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activeCell="C25" sqref="C2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1802</v>
      </c>
      <c r="B2" s="2209"/>
      <c r="C2" s="1884" t="s">
        <v>1956</v>
      </c>
      <c r="D2" s="723" t="s">
        <v>1957</v>
      </c>
      <c r="E2" s="723" t="s">
        <v>1958</v>
      </c>
      <c r="F2" s="1884" t="s">
        <v>1959</v>
      </c>
    </row>
    <row r="3" spans="1:7" ht="15.75" customHeight="1" x14ac:dyDescent="0.2">
      <c r="A3" s="2210" t="s">
        <v>1114</v>
      </c>
      <c r="B3" s="2211"/>
      <c r="C3" s="2204"/>
      <c r="D3" s="2205"/>
      <c r="E3" s="2205"/>
      <c r="F3" s="2206"/>
    </row>
    <row r="4" spans="1:7" ht="12.75" customHeight="1" thickBot="1" x14ac:dyDescent="0.25">
      <c r="A4" s="2198" t="s">
        <v>630</v>
      </c>
      <c r="B4" s="2199"/>
      <c r="C4" s="581"/>
      <c r="D4" s="581"/>
      <c r="E4" s="581"/>
      <c r="F4" s="1755">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5">
        <f>SUM(C17+D17)-E17</f>
        <v>0</v>
      </c>
    </row>
    <row r="18" spans="1:11" ht="12.75" customHeight="1" thickTop="1" thickBot="1" x14ac:dyDescent="0.25">
      <c r="A18" s="2189" t="s">
        <v>6</v>
      </c>
      <c r="B18" s="2190"/>
      <c r="C18" s="726"/>
      <c r="D18" s="585"/>
      <c r="E18" s="726"/>
      <c r="F18" s="1755">
        <f>SUM(C18+D18)-E18</f>
        <v>0</v>
      </c>
    </row>
    <row r="19" spans="1:11" ht="12.75" customHeight="1" thickTop="1" thickBot="1" x14ac:dyDescent="0.25">
      <c r="A19" s="2189" t="s">
        <v>388</v>
      </c>
      <c r="B19" s="2190"/>
      <c r="C19" s="726"/>
      <c r="D19" s="585"/>
      <c r="E19" s="726"/>
      <c r="F19" s="1755">
        <f>SUM(C19+D19)-E19</f>
        <v>0</v>
      </c>
    </row>
    <row r="20" spans="1:11" ht="12.75" customHeight="1" thickTop="1" thickBot="1" x14ac:dyDescent="0.25">
      <c r="A20" s="2189" t="s">
        <v>448</v>
      </c>
      <c r="B20" s="2190"/>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15" top="0.9" bottom="0.75" header="0.17" footer="0.35"/>
  <pageSetup scale="65"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C25" sqref="C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1964</v>
      </c>
      <c r="B3" s="2235"/>
      <c r="C3" s="2235"/>
      <c r="D3" s="2235"/>
      <c r="E3" s="2236"/>
      <c r="F3" s="763"/>
      <c r="G3" s="764"/>
      <c r="H3" s="764"/>
      <c r="I3" s="764"/>
      <c r="J3" s="765"/>
      <c r="K3" s="765"/>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5" t="s">
        <v>1813</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7"/>
      <c r="G12" s="1758">
        <f>SUM(G5:G11)</f>
        <v>0</v>
      </c>
      <c r="H12" s="1758">
        <f>SUM(H5:H11)</f>
        <v>0</v>
      </c>
      <c r="I12" s="1758">
        <f>SUM(I5:I11)</f>
        <v>0</v>
      </c>
      <c r="J12" s="1758">
        <f>SUM(J5:J11)</f>
        <v>0</v>
      </c>
      <c r="K12" s="1758">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c r="I14" s="771"/>
      <c r="J14" s="773"/>
      <c r="K14" s="765"/>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1809</v>
      </c>
      <c r="B19" s="2224"/>
      <c r="C19" s="2224"/>
      <c r="D19" s="2224"/>
      <c r="E19" s="2225"/>
      <c r="F19" s="789" t="s">
        <v>933</v>
      </c>
      <c r="G19" s="782"/>
      <c r="H19" s="782"/>
      <c r="I19" s="782"/>
      <c r="J19" s="765"/>
      <c r="K19" s="795"/>
    </row>
    <row r="20" spans="1:11" x14ac:dyDescent="0.2">
      <c r="A20" s="2226" t="s">
        <v>1814</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1815</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1"/>
      <c r="G23" s="1758">
        <f>SUM(G14:G16,G21,G22)</f>
        <v>0</v>
      </c>
      <c r="H23" s="1758">
        <f>SUM(H14:H16,H21,H22)</f>
        <v>0</v>
      </c>
      <c r="I23" s="1758">
        <f>SUM(I14:I16,I21,I22)</f>
        <v>0</v>
      </c>
      <c r="J23" s="1758">
        <f>SUM(J14:J16,J21,J22)</f>
        <v>0</v>
      </c>
      <c r="K23" s="1758">
        <f>SUM(K14:K16,K21,K22)</f>
        <v>0</v>
      </c>
    </row>
    <row r="24" spans="1:11" ht="14.25" thickTop="1" thickBot="1" x14ac:dyDescent="0.25">
      <c r="A24" s="2246" t="s">
        <v>1965</v>
      </c>
      <c r="B24" s="2245"/>
      <c r="C24" s="2245"/>
      <c r="D24" s="2245"/>
      <c r="E24" s="224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orizontalCentered="1" headings="1"/>
  <pageMargins left="0.35" right="0.17" top="0.83" bottom="0.5" header="0.46" footer="0.35"/>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25" sqref="C2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6"/>
      <c r="E1" s="827"/>
      <c r="F1" s="827"/>
      <c r="G1" s="828"/>
      <c r="H1" s="829"/>
      <c r="I1" s="830"/>
      <c r="J1" s="2249"/>
      <c r="K1" s="2250"/>
      <c r="L1" s="225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74162</v>
      </c>
      <c r="D8" s="844"/>
      <c r="E8" s="844"/>
      <c r="F8" s="1760">
        <f>(C8+D8)-E8</f>
        <v>74162</v>
      </c>
      <c r="G8" s="843">
        <v>50</v>
      </c>
      <c r="H8" s="765">
        <v>39117</v>
      </c>
      <c r="I8" s="765">
        <v>1483</v>
      </c>
      <c r="J8" s="765"/>
      <c r="K8" s="1769">
        <f>(H8+I8)-J8</f>
        <v>40600</v>
      </c>
      <c r="L8" s="1769">
        <f>F8-K8</f>
        <v>33562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180040</v>
      </c>
      <c r="D10" s="846"/>
      <c r="E10" s="846"/>
      <c r="F10" s="1764">
        <f>(C10+D10)-E10</f>
        <v>180040</v>
      </c>
      <c r="G10" s="843">
        <v>20</v>
      </c>
      <c r="H10" s="847">
        <v>49632</v>
      </c>
      <c r="I10" s="847">
        <v>9002</v>
      </c>
      <c r="J10" s="847"/>
      <c r="K10" s="1769">
        <f>(H10+I10)-J10</f>
        <v>58634</v>
      </c>
      <c r="L10" s="1769">
        <f>F10-K10</f>
        <v>121406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1543901</v>
      </c>
      <c r="D12" s="844">
        <v>31683</v>
      </c>
      <c r="E12" s="844">
        <v>44172</v>
      </c>
      <c r="F12" s="1760">
        <f>(C12+D12)-E12</f>
        <v>1531412</v>
      </c>
      <c r="G12" s="843">
        <v>10</v>
      </c>
      <c r="H12" s="765">
        <v>1411104</v>
      </c>
      <c r="I12" s="765">
        <v>25088</v>
      </c>
      <c r="J12" s="765">
        <v>44172</v>
      </c>
      <c r="K12" s="1769">
        <f>(H12+I12)-J12</f>
        <v>1392020</v>
      </c>
      <c r="L12" s="1769">
        <f>F12-K12</f>
        <v>139392</v>
      </c>
    </row>
    <row r="13" spans="1:14" ht="14.25" thickTop="1" thickBot="1" x14ac:dyDescent="0.25">
      <c r="A13" s="848" t="s">
        <v>1122</v>
      </c>
      <c r="B13" s="840">
        <v>252</v>
      </c>
      <c r="C13" s="844">
        <v>162417</v>
      </c>
      <c r="D13" s="844">
        <v>25459</v>
      </c>
      <c r="E13" s="844"/>
      <c r="F13" s="1760">
        <f>(C13+D13)-E13</f>
        <v>187876</v>
      </c>
      <c r="G13" s="843">
        <v>5</v>
      </c>
      <c r="H13" s="765">
        <v>130773</v>
      </c>
      <c r="I13" s="765">
        <v>11692</v>
      </c>
      <c r="J13" s="765"/>
      <c r="K13" s="1769">
        <f>(H13+I13)-J13</f>
        <v>142465</v>
      </c>
      <c r="L13" s="1769">
        <f>F13-K13</f>
        <v>45411</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1960520</v>
      </c>
      <c r="D16" s="1760">
        <f>SUM(D3,D5:D6,D8:D10,D12:D15)</f>
        <v>57142</v>
      </c>
      <c r="E16" s="1760">
        <f>SUM(E3,E5:E6,E8:E10,E12:E15)</f>
        <v>44172</v>
      </c>
      <c r="F16" s="1760">
        <f>SUM(F3,F5:F6,F8:F10,F12:F15)</f>
        <v>1973490</v>
      </c>
      <c r="G16" s="843"/>
      <c r="H16" s="1760">
        <f>SUM(H3,H6,H8:H10,H12:H14,)</f>
        <v>1630626</v>
      </c>
      <c r="I16" s="1760">
        <f>SUM(I3,I6,I8:I10,I12:I14,)</f>
        <v>47265</v>
      </c>
      <c r="J16" s="1760">
        <f>SUM(J3,J6,J8:J10,J12:J14,)</f>
        <v>44172</v>
      </c>
      <c r="K16" s="1760">
        <f>(H16+I16)-J16</f>
        <v>1633719</v>
      </c>
      <c r="L16" s="1760">
        <f>F16-K16</f>
        <v>339771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47265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orizontalCentered="1" verticalCentered="1" headings="1"/>
  <pageMargins left="0.25" right="0.17" top="1.1000000000000001" bottom="1.1000000000000001" header="0.39"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21" activePane="bottomLeft" state="frozen"/>
      <selection activeCell="C25" sqref="C25"/>
      <selection pane="bottomLeft" activeCell="F78" sqref="F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1975</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731381</v>
      </c>
      <c r="G8" s="865"/>
    </row>
    <row r="9" spans="1:7" x14ac:dyDescent="0.2">
      <c r="A9" s="869" t="s">
        <v>460</v>
      </c>
      <c r="B9" s="870" t="s">
        <v>1877</v>
      </c>
      <c r="C9" s="871"/>
      <c r="D9" s="869" t="s">
        <v>501</v>
      </c>
      <c r="E9" s="868"/>
      <c r="F9" s="1909">
        <f>'Expenditures 15-22'!K151</f>
        <v>0</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0</v>
      </c>
      <c r="G11" s="872"/>
    </row>
    <row r="12" spans="1:7" x14ac:dyDescent="0.2">
      <c r="A12" s="869" t="s">
        <v>462</v>
      </c>
      <c r="B12" s="870" t="s">
        <v>1880</v>
      </c>
      <c r="C12" s="871"/>
      <c r="D12" s="869" t="s">
        <v>501</v>
      </c>
      <c r="E12" s="868"/>
      <c r="F12" s="1909">
        <f>'Expenditures 15-22'!K295</f>
        <v>0</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731381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9956</v>
      </c>
      <c r="G53" s="865"/>
    </row>
    <row r="54" spans="1:7" x14ac:dyDescent="0.2">
      <c r="A54" s="869" t="s">
        <v>459</v>
      </c>
      <c r="B54" s="869" t="s">
        <v>1476</v>
      </c>
      <c r="C54" s="889" t="s">
        <v>982</v>
      </c>
      <c r="D54" s="885" t="s">
        <v>1095</v>
      </c>
      <c r="E54" s="868"/>
      <c r="F54" s="1913">
        <f>'Expenditures 15-22'!G114</f>
        <v>57275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67231</v>
      </c>
      <c r="G76" s="865"/>
    </row>
    <row r="77" spans="1:8" s="893" customFormat="1" ht="12" customHeight="1" thickTop="1" thickBot="1" x14ac:dyDescent="0.25">
      <c r="A77" s="1779"/>
      <c r="B77" s="1776"/>
      <c r="C77" s="1772"/>
      <c r="D77" s="1777" t="s">
        <v>1900</v>
      </c>
      <c r="E77" s="1774"/>
      <c r="F77" s="1780">
        <f>(F14-F76)</f>
        <v>664150</v>
      </c>
      <c r="G77" s="869"/>
    </row>
    <row r="78" spans="1:8" s="893" customFormat="1" ht="12" customHeight="1" thickTop="1" x14ac:dyDescent="0.2">
      <c r="A78" s="1781"/>
      <c r="B78" s="1776"/>
      <c r="C78" s="1772"/>
      <c r="D78" s="1777" t="s">
        <v>2062</v>
      </c>
      <c r="E78" s="1774"/>
      <c r="F78" s="898">
        <v>0</v>
      </c>
      <c r="G78" s="899"/>
      <c r="H78" s="869"/>
    </row>
    <row r="79" spans="1:8" s="893" customFormat="1" ht="12" customHeight="1" thickBot="1" x14ac:dyDescent="0.25">
      <c r="A79" s="1782"/>
      <c r="B79" s="1776"/>
      <c r="C79" s="1772"/>
      <c r="D79" s="1777" t="s">
        <v>1901</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359514</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115964</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475478</v>
      </c>
    </row>
    <row r="175" spans="1:7" ht="12" customHeight="1" x14ac:dyDescent="0.2">
      <c r="A175" s="1770"/>
      <c r="B175" s="1784"/>
      <c r="C175" s="1785"/>
      <c r="D175" s="1786" t="s">
        <v>2057</v>
      </c>
      <c r="E175" s="1787"/>
      <c r="F175" s="1789">
        <f>'PCTC-OEPP 27-28'!F77-F174</f>
        <v>188672</v>
      </c>
    </row>
    <row r="176" spans="1:7" ht="12" customHeight="1" x14ac:dyDescent="0.2">
      <c r="A176" s="1770"/>
      <c r="B176" s="1784"/>
      <c r="C176" s="1785"/>
      <c r="D176" s="1786" t="s">
        <v>1817</v>
      </c>
      <c r="E176" s="1787"/>
      <c r="F176" s="1789">
        <f>'Cap Outlay Deprec 26'!I18</f>
        <v>47265</v>
      </c>
    </row>
    <row r="177" spans="1:7" ht="12" customHeight="1" x14ac:dyDescent="0.2">
      <c r="A177" s="1770"/>
      <c r="B177" s="1784"/>
      <c r="C177" s="1785"/>
      <c r="D177" s="1786" t="s">
        <v>2058</v>
      </c>
      <c r="E177" s="1787"/>
      <c r="F177" s="1789">
        <f>F175+F176</f>
        <v>235937</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2059</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orizontalCentered="1" verticalCentered="1" headings="1"/>
  <pageMargins left="0.25" right="0.25" top="0.45" bottom="0.75" header="0.19" footer="0.65"/>
  <pageSetup scale="7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zoomScaleNormal="100" workbookViewId="0">
      <selection activeCell="C25" sqref="C25"/>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1934</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1976</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rintOptions horizontalCentered="1"/>
  <pageMargins left="0.2" right="0.2" top="0.5" bottom="0.25" header="0.3" footer="0.3"/>
  <pageSetup scale="75"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4" colorId="8" zoomScale="110" zoomScaleNormal="110" workbookViewId="0">
      <selection activeCell="D48" sqref="D4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5" t="s">
        <v>1977</v>
      </c>
      <c r="B11" s="2286"/>
      <c r="C11" s="2286"/>
      <c r="D11" s="2287"/>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379540</v>
      </c>
      <c r="F19" s="1799"/>
      <c r="G19" s="1801">
        <f>'Expenditures 15-22'!K33-SUM('Expenditures 15-22'!G33,'Expenditures 15-22'!I33)+'Expenditures 15-22'!D229</f>
        <v>379540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120062</v>
      </c>
      <c r="F22" s="1802"/>
      <c r="G22" s="1805">
        <f>'Expenditures 15-22'!K47-SUM('Expenditures 15-22'!G47,'Expenditures 15-22'!I47)+'Expenditures 15-22'!D243</f>
        <v>120062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94833</v>
      </c>
      <c r="F23" s="1802"/>
      <c r="G23" s="1804">
        <f>'Expenditures 15-22'!K53-SUM('Expenditures 15-22'!G53,'Expenditures 15-22'!I53)+'Expenditures 15-22'!D257+'Expenditures 15-22'!K330-SUM('Expenditures 15-22'!G330,'Expenditures 15-22'!I330)</f>
        <v>94833</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24378</v>
      </c>
      <c r="E27" s="1804">
        <f>E8</f>
        <v>0</v>
      </c>
      <c r="F27" s="1804">
        <f>'Expenditures 15-22'!K60-SUM('Expenditures 15-22'!G60,'Expenditures 15-22'!I60)+'Expenditures 15-22'!D264-E8</f>
        <v>24378</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45337</v>
      </c>
      <c r="F28" s="1806">
        <f>'Expenditures 15-22'!K61-SUM('Expenditures 15-22'!G61,'Expenditures 15-22'!I61)+'Expenditures 15-22'!K124-SUM('Expenditures 15-22'!G124,'Expenditures 15-22'!I124)+'Expenditures 15-22'!D266-E9</f>
        <v>45337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24378</v>
      </c>
      <c r="E41" s="1806">
        <f>SUM(E19:E40)</f>
        <v>639772</v>
      </c>
      <c r="F41" s="1806">
        <f>SUM(F19:F39)</f>
        <v>69715</v>
      </c>
      <c r="G41" s="1806">
        <f>SUM(G19:G40)</f>
        <v>594435</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24378</v>
      </c>
      <c r="F43" s="1807" t="s">
        <v>473</v>
      </c>
      <c r="G43" s="1808">
        <f>F41</f>
        <v>69715</v>
      </c>
    </row>
    <row r="44" spans="1:7" ht="12" customHeight="1" x14ac:dyDescent="0.2">
      <c r="A44" s="987"/>
      <c r="B44" s="162"/>
      <c r="C44" s="1001"/>
      <c r="D44" s="1807" t="s">
        <v>474</v>
      </c>
      <c r="E44" s="1808">
        <f>E41</f>
        <v>639772</v>
      </c>
      <c r="F44" s="1807" t="s">
        <v>474</v>
      </c>
      <c r="G44" s="1808">
        <f>G41</f>
        <v>594435</v>
      </c>
    </row>
    <row r="45" spans="1:7" ht="12" customHeight="1" x14ac:dyDescent="0.2">
      <c r="A45" s="987"/>
      <c r="B45" s="162"/>
      <c r="C45" s="162"/>
      <c r="D45" s="1809" t="s">
        <v>1006</v>
      </c>
      <c r="E45" s="1810">
        <f>(E43/E44)</f>
        <v>3.8104199621115019E-2</v>
      </c>
      <c r="F45" s="1809" t="s">
        <v>1006</v>
      </c>
      <c r="G45" s="1810">
        <f>(G43/G44)</f>
        <v>0.11727943341155887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5" header="0.42" footer="0.35"/>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C25" sqref="C25"/>
      <selection pane="bottomLeft" activeCell="D16" sqref="D1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 xml:space="preserve">Five County Reg Voc System </v>
      </c>
      <c r="D6" s="2306"/>
      <c r="E6" s="2306"/>
      <c r="F6" s="1852"/>
    </row>
    <row r="7" spans="1:10" ht="11.25" customHeight="1" thickBot="1" x14ac:dyDescent="0.3">
      <c r="A7" s="1850"/>
      <c r="B7" s="1851"/>
      <c r="C7" s="2307">
        <f>COVER!A13</f>
        <v>30002748045</v>
      </c>
      <c r="D7" s="2307"/>
      <c r="E7" s="2307"/>
      <c r="F7" s="1852"/>
    </row>
    <row r="8" spans="1:10" ht="25.5" customHeight="1" thickBot="1" x14ac:dyDescent="0.25">
      <c r="A8" s="1893" t="s">
        <v>1908</v>
      </c>
      <c r="B8" s="1853" t="s">
        <v>2064</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verticalCentered="1" headings="1"/>
  <pageMargins left="0.3" right="0.2" top="0.68" bottom="0.5" header="0.17" footer="0.35"/>
  <pageSetup scale="75"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5"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 xml:space="preserve">Five County Reg Voc System </v>
      </c>
      <c r="J6" s="2316"/>
      <c r="Q6" s="1664"/>
    </row>
    <row r="7" spans="1:17" x14ac:dyDescent="0.2">
      <c r="A7" s="2317" t="s">
        <v>869</v>
      </c>
      <c r="B7" s="2318"/>
      <c r="C7" s="2318"/>
      <c r="D7" s="2318"/>
      <c r="E7" s="2319"/>
      <c r="F7" s="1017"/>
      <c r="G7" s="1009"/>
      <c r="H7" s="1016" t="s">
        <v>372</v>
      </c>
      <c r="I7" s="2320">
        <f>COVER!A13</f>
        <v>30002748045</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93056</v>
      </c>
      <c r="F13" s="1039"/>
      <c r="G13" s="1811">
        <f t="shared" si="0"/>
        <v>93056</v>
      </c>
      <c r="H13" s="1040">
        <v>96143</v>
      </c>
      <c r="I13" s="1039"/>
      <c r="J13" s="1811">
        <f t="shared" si="1"/>
        <v>96143</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4" t="s">
        <v>7</v>
      </c>
      <c r="C18" s="2325"/>
      <c r="D18" s="232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93056</v>
      </c>
      <c r="F19" s="1813">
        <f t="shared" si="2"/>
        <v>0</v>
      </c>
      <c r="G19" s="1813">
        <f t="shared" si="2"/>
        <v>93056</v>
      </c>
      <c r="H19" s="1813">
        <f t="shared" si="2"/>
        <v>96143</v>
      </c>
      <c r="I19" s="1813">
        <f t="shared" si="2"/>
        <v>0</v>
      </c>
      <c r="J19" s="1813">
        <f t="shared" si="2"/>
        <v>96143</v>
      </c>
    </row>
    <row r="20" spans="1:10" ht="13.5" thickTop="1" x14ac:dyDescent="0.2">
      <c r="A20" s="1035">
        <v>9</v>
      </c>
      <c r="B20" s="2327" t="s">
        <v>1981</v>
      </c>
      <c r="C20" s="2327"/>
      <c r="D20" s="2328"/>
      <c r="E20" s="1046"/>
      <c r="F20" s="1046"/>
      <c r="G20" s="1046"/>
      <c r="H20" s="1046"/>
      <c r="I20" s="1046"/>
      <c r="J20" s="1814">
        <f>IF(AND(G19&gt;0,J19&gt;0),(((J19-G19)/G19)),"Enter Budget Data")</f>
        <v>3.3173572902338376E-2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0.5" right="0.5" top="0.9" bottom="0.63" header="0.28000000000000003"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D67"/>
  <sheetViews>
    <sheetView showGridLines="0" zoomScale="110" zoomScaleNormal="110" workbookViewId="0">
      <selection activeCell="A4" sqref="A4"/>
    </sheetView>
  </sheetViews>
  <sheetFormatPr defaultColWidth="9.140625" defaultRowHeight="12.75" x14ac:dyDescent="0.2"/>
  <cols>
    <col min="1" max="1" width="3" style="329" customWidth="1"/>
    <col min="2" max="2" width="109.140625" style="329" customWidth="1"/>
    <col min="3" max="3" width="3.140625" style="329" customWidth="1"/>
    <col min="4" max="4" width="11" style="329" bestFit="1" customWidth="1"/>
    <col min="5" max="16384" width="9.140625" style="329"/>
  </cols>
  <sheetData>
    <row r="2" spans="1:4" x14ac:dyDescent="0.2">
      <c r="A2" s="389" t="s">
        <v>258</v>
      </c>
    </row>
    <row r="3" spans="1:4" x14ac:dyDescent="0.2">
      <c r="A3" s="329" t="s">
        <v>259</v>
      </c>
    </row>
    <row r="5" spans="1:4" x14ac:dyDescent="0.2">
      <c r="A5" s="1068">
        <v>1</v>
      </c>
      <c r="B5" s="329" t="s">
        <v>2078</v>
      </c>
    </row>
    <row r="6" spans="1:4" ht="13.5" thickBot="1" x14ac:dyDescent="0.25">
      <c r="A6" s="1068"/>
      <c r="B6" s="329" t="s">
        <v>2079</v>
      </c>
      <c r="D6" s="1938">
        <v>21492</v>
      </c>
    </row>
    <row r="7" spans="1:4" ht="13.5" thickTop="1" x14ac:dyDescent="0.2">
      <c r="A7" s="1068">
        <v>2</v>
      </c>
      <c r="B7" s="329" t="s">
        <v>2080</v>
      </c>
    </row>
    <row r="8" spans="1:4" ht="13.5" thickBot="1" x14ac:dyDescent="0.25">
      <c r="A8" s="1068"/>
      <c r="B8" s="329" t="s">
        <v>2081</v>
      </c>
      <c r="D8" s="1938">
        <v>115964</v>
      </c>
    </row>
    <row r="9" spans="1:4" ht="13.5" thickTop="1" x14ac:dyDescent="0.2">
      <c r="A9" s="1068">
        <v>3</v>
      </c>
      <c r="B9" s="329" t="s">
        <v>2088</v>
      </c>
    </row>
    <row r="10" spans="1:4" ht="13.5" thickBot="1" x14ac:dyDescent="0.25">
      <c r="A10" s="1068"/>
      <c r="B10" s="329" t="s">
        <v>2082</v>
      </c>
      <c r="D10" s="1938">
        <v>6531</v>
      </c>
    </row>
    <row r="11" spans="1:4" ht="13.5" thickTop="1" x14ac:dyDescent="0.2">
      <c r="A11" s="1069"/>
    </row>
    <row r="12" spans="1:4" x14ac:dyDescent="0.2">
      <c r="A12" s="1069"/>
    </row>
    <row r="13" spans="1:4" x14ac:dyDescent="0.2">
      <c r="A13" s="1069"/>
    </row>
    <row r="14" spans="1:4" x14ac:dyDescent="0.2">
      <c r="A14" s="1069"/>
    </row>
    <row r="15" spans="1:4" x14ac:dyDescent="0.2">
      <c r="A15" s="1069"/>
    </row>
    <row r="16" spans="1:4"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c r="B66" s="258" t="str">
        <f>COVER!A17</f>
        <v xml:space="preserve">Five County Reg Voc System </v>
      </c>
    </row>
    <row r="67" spans="1:2" x14ac:dyDescent="0.2">
      <c r="B67" s="1070">
        <f>COVER!A13</f>
        <v>30002748045</v>
      </c>
    </row>
  </sheetData>
  <phoneticPr fontId="13" type="noConversion"/>
  <pageMargins left="0.2" right="0.2" top="1.17" bottom="0.75" header="0.19" footer="0.16"/>
  <pageSetup scale="78"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9"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5</xdr:row>
                <xdr:rowOff>0</xdr:rowOff>
              </from>
              <to>
                <xdr:col>1</xdr:col>
                <xdr:colOff>857250</xdr:colOff>
                <xdr:row>8</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5" zoomScale="110" zoomScaleNormal="110" workbookViewId="0">
      <selection activeCell="D16" sqref="D1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1988</v>
      </c>
      <c r="B4" s="2355"/>
      <c r="C4" s="2355"/>
      <c r="D4" s="2355"/>
      <c r="E4" s="2355"/>
      <c r="F4" s="2356"/>
      <c r="G4" s="1074"/>
      <c r="H4" s="1074"/>
    </row>
    <row r="5" spans="1:8" ht="14.25" customHeight="1" x14ac:dyDescent="0.2">
      <c r="A5" s="2357" t="s">
        <v>1984</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677208</v>
      </c>
      <c r="C8" s="1815">
        <f>'Acct Summary 7-8'!D8</f>
        <v>0</v>
      </c>
      <c r="D8" s="1815">
        <f>'Acct Summary 7-8'!F8</f>
        <v>0</v>
      </c>
      <c r="E8" s="1815">
        <f>'Acct Summary 7-8'!I8</f>
        <v>0</v>
      </c>
      <c r="F8" s="1815">
        <f>SUM(B8:E8)</f>
        <v>677208</v>
      </c>
    </row>
    <row r="9" spans="1:8" s="1079" customFormat="1" ht="14.25" customHeight="1" thickBot="1" x14ac:dyDescent="0.25">
      <c r="A9" s="1078" t="s">
        <v>1369</v>
      </c>
      <c r="B9" s="1816">
        <f>'Acct Summary 7-8'!C17</f>
        <v>731381</v>
      </c>
      <c r="C9" s="1816">
        <f>'Acct Summary 7-8'!D17</f>
        <v>0</v>
      </c>
      <c r="D9" s="1816">
        <f>'Acct Summary 7-8'!F17</f>
        <v>0</v>
      </c>
      <c r="E9" s="1815"/>
      <c r="F9" s="1815">
        <f>SUM(B9:E9)</f>
        <v>731381</v>
      </c>
    </row>
    <row r="10" spans="1:8" s="1079" customFormat="1" ht="14.25" thickTop="1" thickBot="1" x14ac:dyDescent="0.25">
      <c r="A10" s="1080" t="s">
        <v>1370</v>
      </c>
      <c r="B10" s="1817">
        <f>(B8-B9)</f>
        <v>-54173</v>
      </c>
      <c r="C10" s="1817">
        <f>(C8-C9)</f>
        <v>0</v>
      </c>
      <c r="D10" s="1817">
        <f>(D8-D9)</f>
        <v>0</v>
      </c>
      <c r="E10" s="1816">
        <f>(E8-E9)</f>
        <v>0</v>
      </c>
      <c r="F10" s="1818">
        <f>SUM(F8-F9)</f>
        <v>-54173</v>
      </c>
    </row>
    <row r="11" spans="1:8" s="1079" customFormat="1" ht="14.25" thickTop="1" thickBot="1" x14ac:dyDescent="0.25">
      <c r="A11" s="1081" t="s">
        <v>1985</v>
      </c>
      <c r="B11" s="1819">
        <f>'Acct Summary 7-8'!C81</f>
        <v>645391</v>
      </c>
      <c r="C11" s="1819">
        <f>'Acct Summary 7-8'!D81</f>
        <v>0</v>
      </c>
      <c r="D11" s="1819">
        <f>'Acct Summary 7-8'!F81</f>
        <v>0</v>
      </c>
      <c r="E11" s="1819">
        <f>'Acct Summary 7-8'!I81</f>
        <v>0</v>
      </c>
      <c r="F11" s="1820">
        <f>SUM(B11:E11)</f>
        <v>645391</v>
      </c>
    </row>
    <row r="12" spans="1:8" ht="16.5" customHeight="1" thickTop="1" x14ac:dyDescent="0.2">
      <c r="A12" s="1082"/>
      <c r="B12" s="1083"/>
      <c r="C12" s="2339" t="str">
        <f>IF(AND(F10&lt;0,F11&gt;=0,ABS(F10*3)&gt;ABS(F11)),A16,IF(AND(F10&lt;0,F11&gt;0,ABS(F10*3)&lt;=ABS(F11)),A17,IF(AND(F10&lt;0,F11&lt;0),A16,IF(F11=0,A19,A18))))</f>
        <v>Unbalanced -  however, a deficit reduction plan is not required at this time.</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verticalCentered="1"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C53" sqref="C5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30002748045</v>
      </c>
    </row>
    <row r="3" spans="1:2" x14ac:dyDescent="0.2">
      <c r="A3" t="s">
        <v>956</v>
      </c>
      <c r="B3" s="138" t="str">
        <f>COVER!A15</f>
        <v>Johnson, Alexander, Massac, Pulaski, Union</v>
      </c>
    </row>
    <row r="4" spans="1:2" x14ac:dyDescent="0.2">
      <c r="A4" t="s">
        <v>1007</v>
      </c>
      <c r="B4" s="138" t="str">
        <f>COVER!A17</f>
        <v xml:space="preserve">Five County Reg Voc System </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066-003889</v>
      </c>
    </row>
    <row r="16" spans="1:2" x14ac:dyDescent="0.2">
      <c r="A16" t="s">
        <v>422</v>
      </c>
      <c r="B16" s="138" t="str">
        <f>COVER!T13</f>
        <v>Beussink, Hey, Roe &amp; Stroder, L.L.C.</v>
      </c>
    </row>
    <row r="17" spans="1:2" x14ac:dyDescent="0.2">
      <c r="A17" t="s">
        <v>884</v>
      </c>
      <c r="B17" s="138" t="str">
        <f>COVER!T15</f>
        <v>Jeffrey C. Stroder, CPA</v>
      </c>
    </row>
    <row r="18" spans="1:2" x14ac:dyDescent="0.2">
      <c r="A18" t="s">
        <v>1150</v>
      </c>
      <c r="B18" s="138" t="str">
        <f>COVER!T17</f>
        <v>16 South Silver Springs Road</v>
      </c>
    </row>
    <row r="19" spans="1:2" x14ac:dyDescent="0.2">
      <c r="A19" t="s">
        <v>886</v>
      </c>
      <c r="B19" s="138" t="str">
        <f>COVER!T25</f>
        <v>jstroder@bhrcpas.com</v>
      </c>
    </row>
    <row r="20" spans="1:2" x14ac:dyDescent="0.2">
      <c r="A20" t="s">
        <v>887</v>
      </c>
      <c r="B20" s="138" t="str">
        <f>COVER!T19</f>
        <v>Cape Girardeau</v>
      </c>
    </row>
    <row r="21" spans="1:2" x14ac:dyDescent="0.2">
      <c r="A21" t="s">
        <v>479</v>
      </c>
      <c r="B21" s="138" t="str">
        <f>COVER!X19</f>
        <v>MO</v>
      </c>
    </row>
    <row r="22" spans="1:2" x14ac:dyDescent="0.2">
      <c r="A22" t="s">
        <v>888</v>
      </c>
      <c r="B22" s="138">
        <f>COVER!Z19</f>
        <v>63703</v>
      </c>
    </row>
    <row r="23" spans="1:2" x14ac:dyDescent="0.2">
      <c r="A23" t="s">
        <v>1152</v>
      </c>
      <c r="B23" s="138" t="str">
        <f>COVER!T21</f>
        <v>573-334-7971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645391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645391</v>
      </c>
      <c r="D92" s="2" t="str">
        <f t="shared" si="0"/>
        <v>Error?</v>
      </c>
    </row>
    <row r="93" spans="1:4" x14ac:dyDescent="0.2">
      <c r="A93" s="5">
        <v>32</v>
      </c>
      <c r="B93" s="138">
        <f>'Assets-Liab 5-6'!C41</f>
        <v>645391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74162</v>
      </c>
      <c r="D274" s="2" t="str">
        <f t="shared" si="3"/>
        <v>Error?</v>
      </c>
    </row>
    <row r="275" spans="1:4" x14ac:dyDescent="0.2">
      <c r="A275" s="5">
        <v>214</v>
      </c>
      <c r="B275" s="138">
        <f>'Assets-Liab 5-6'!M18</f>
        <v>180040</v>
      </c>
      <c r="D275" s="2" t="str">
        <f t="shared" si="3"/>
        <v>Error?</v>
      </c>
    </row>
    <row r="276" spans="1:4" x14ac:dyDescent="0.2">
      <c r="A276" s="5">
        <v>215</v>
      </c>
      <c r="B276" s="138">
        <f>'Assets-Liab 5-6'!M19</f>
        <v>1719288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1973490</v>
      </c>
      <c r="C279" s="2" t="s">
        <v>573</v>
      </c>
      <c r="D279" s="2" t="str">
        <f t="shared" si="3"/>
        <v>Error?</v>
      </c>
    </row>
    <row r="280" spans="1:4" x14ac:dyDescent="0.2">
      <c r="A280" s="5">
        <v>219</v>
      </c>
      <c r="B280" s="138">
        <f>'Assets-Liab 5-6'!M40</f>
        <v>1973490</v>
      </c>
      <c r="D280" s="2" t="str">
        <f t="shared" si="3"/>
        <v>Error?</v>
      </c>
    </row>
    <row r="281" spans="1:4" x14ac:dyDescent="0.2">
      <c r="A281" s="5">
        <v>220</v>
      </c>
      <c r="B281" s="138">
        <f>'Assets-Liab 5-6'!M41</f>
        <v>1973490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280113</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280113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78211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78211</v>
      </c>
      <c r="C731" s="2" t="s">
        <v>573</v>
      </c>
      <c r="D731" s="2" t="str">
        <f t="shared" si="10"/>
        <v>Error?</v>
      </c>
    </row>
    <row r="732" spans="1:4" x14ac:dyDescent="0.2">
      <c r="A732" s="5">
        <v>671</v>
      </c>
      <c r="B732" s="138">
        <f>'Expenditures 15-22'!C49</f>
        <v>1446</v>
      </c>
      <c r="D732" s="2" t="str">
        <f t="shared" si="10"/>
        <v>Error?</v>
      </c>
    </row>
    <row r="733" spans="1:4" x14ac:dyDescent="0.2">
      <c r="A733" s="5">
        <v>672</v>
      </c>
      <c r="B733" s="138">
        <f>'Expenditures 15-22'!C50</f>
        <v>0</v>
      </c>
      <c r="D733" s="2" t="str">
        <f t="shared" si="10"/>
        <v>Error?</v>
      </c>
    </row>
    <row r="734" spans="1:4" x14ac:dyDescent="0.2">
      <c r="A734" s="5">
        <v>673</v>
      </c>
      <c r="B734" s="138">
        <f>'Expenditures 15-22'!C53</f>
        <v>60750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15021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15021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153982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434095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32744</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32744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27130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27130</v>
      </c>
      <c r="C789" s="2" t="s">
        <v>573</v>
      </c>
      <c r="D789" s="2" t="str">
        <f t="shared" si="11"/>
        <v>Error?</v>
      </c>
    </row>
    <row r="790" spans="1:4" x14ac:dyDescent="0.2">
      <c r="A790" s="5">
        <v>729</v>
      </c>
      <c r="B790" s="138">
        <f>'Expenditures 15-22'!D49</f>
        <v>111</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18198</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5918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5918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51246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83990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6231</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6231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14029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525</v>
      </c>
      <c r="D846" s="2" t="str">
        <f t="shared" si="12"/>
        <v>Error?</v>
      </c>
    </row>
    <row r="847" spans="1:4" x14ac:dyDescent="0.2">
      <c r="A847" s="5">
        <v>786</v>
      </c>
      <c r="B847" s="138">
        <f>'Expenditures 15-22'!E47</f>
        <v>14554</v>
      </c>
      <c r="C847" s="2" t="s">
        <v>573</v>
      </c>
      <c r="D847" s="2" t="str">
        <f t="shared" si="12"/>
        <v>Error?</v>
      </c>
    </row>
    <row r="848" spans="1:4" x14ac:dyDescent="0.2">
      <c r="A848" s="5">
        <v>787</v>
      </c>
      <c r="B848" s="138">
        <f>'Expenditures 15-22'!E49</f>
        <v>220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11879</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2838</v>
      </c>
      <c r="D855" s="2" t="str">
        <f t="shared" si="12"/>
        <v>Error?</v>
      </c>
    </row>
    <row r="856" spans="1:4" x14ac:dyDescent="0.2">
      <c r="A856" s="5">
        <v>795</v>
      </c>
      <c r="B856" s="138">
        <f>'Expenditures 15-22'!E61</f>
        <v>28812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31650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58083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64314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60452</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60452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167</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167</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601</v>
      </c>
      <c r="D913" s="2" t="str">
        <f t="shared" si="13"/>
        <v>Error?</v>
      </c>
    </row>
    <row r="914" spans="1:4" x14ac:dyDescent="0.2">
      <c r="A914" s="5">
        <v>853</v>
      </c>
      <c r="B914" s="138">
        <f>'Expenditures 15-22'!F61</f>
        <v>16525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17126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17293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77745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57275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57275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57275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4006</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4006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9956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13962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436815</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436815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119537</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525</v>
      </c>
      <c r="C1118" s="2" t="s">
        <v>573</v>
      </c>
      <c r="D1118" s="2" t="str">
        <f t="shared" si="16"/>
        <v>Error?</v>
      </c>
    </row>
    <row r="1119" spans="1:4" x14ac:dyDescent="0.2">
      <c r="A1119" s="5">
        <v>1058</v>
      </c>
      <c r="B1119" s="138">
        <f>'Expenditures 15-22'!K47</f>
        <v>120062</v>
      </c>
      <c r="C1119" s="2" t="s">
        <v>573</v>
      </c>
      <c r="D1119" s="2" t="str">
        <f t="shared" si="16"/>
        <v>Error?</v>
      </c>
    </row>
    <row r="1120" spans="1:4" x14ac:dyDescent="0.2">
      <c r="A1120" s="5">
        <v>1059</v>
      </c>
      <c r="B1120" s="138">
        <f>'Expenditures 15-22'!K49</f>
        <v>1777</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94833</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24378</v>
      </c>
      <c r="C1127" s="2" t="s">
        <v>573</v>
      </c>
      <c r="D1127" s="2" t="str">
        <f t="shared" si="16"/>
        <v>Error?</v>
      </c>
    </row>
    <row r="1128" spans="1:4" x14ac:dyDescent="0.2">
      <c r="A1128" s="5">
        <v>1067</v>
      </c>
      <c r="B1128" s="138">
        <f>'Expenditures 15-22'!K61</f>
        <v>45337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69715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284610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9956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731381</v>
      </c>
      <c r="C1152" s="2" t="s">
        <v>573</v>
      </c>
      <c r="D1152" s="2" t="str">
        <f t="shared" si="17"/>
        <v>Error?</v>
      </c>
    </row>
    <row r="1153" spans="1:4" x14ac:dyDescent="0.2">
      <c r="A1153" s="5">
        <v>1092</v>
      </c>
      <c r="B1153" s="138">
        <f>'Expenditures 15-22'!K115</f>
        <v>-54173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693033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645391</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74162</v>
      </c>
      <c r="D2009" s="2" t="str">
        <f t="shared" si="30"/>
        <v>Error?</v>
      </c>
    </row>
    <row r="2010" spans="1:4" x14ac:dyDescent="0.2">
      <c r="A2010" s="5">
        <v>1949</v>
      </c>
      <c r="B2010" s="138">
        <f>'Cap Outlay Deprec 26'!C10</f>
        <v>180040</v>
      </c>
      <c r="D2010" s="2" t="str">
        <f t="shared" si="30"/>
        <v>Error?</v>
      </c>
    </row>
    <row r="2011" spans="1:4" x14ac:dyDescent="0.2">
      <c r="A2011" s="5">
        <v>1950</v>
      </c>
      <c r="B2011" s="138">
        <f>'Cap Outlay Deprec 26'!C12</f>
        <v>1543901</v>
      </c>
      <c r="D2011" s="2" t="str">
        <f t="shared" si="30"/>
        <v>Error?</v>
      </c>
    </row>
    <row r="2012" spans="1:4" x14ac:dyDescent="0.2">
      <c r="A2012" s="5">
        <v>1951</v>
      </c>
      <c r="B2012" s="138">
        <f>'Cap Outlay Deprec 26'!C13</f>
        <v>162417</v>
      </c>
      <c r="D2012" s="2" t="str">
        <f t="shared" si="30"/>
        <v>Error?</v>
      </c>
    </row>
    <row r="2013" spans="1:4" x14ac:dyDescent="0.2">
      <c r="A2013" s="5">
        <v>1952</v>
      </c>
      <c r="B2013" s="138">
        <f>'Cap Outlay Deprec 26'!C16</f>
        <v>1960520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31683</v>
      </c>
      <c r="D2017" s="2" t="str">
        <f t="shared" si="30"/>
        <v>Error?</v>
      </c>
    </row>
    <row r="2018" spans="1:4" x14ac:dyDescent="0.2">
      <c r="A2018" s="5">
        <v>1957</v>
      </c>
      <c r="B2018" s="138">
        <f>'Cap Outlay Deprec 26'!D13</f>
        <v>25459</v>
      </c>
      <c r="D2018" s="2" t="str">
        <f t="shared" si="30"/>
        <v>Error?</v>
      </c>
    </row>
    <row r="2019" spans="1:4" x14ac:dyDescent="0.2">
      <c r="A2019" s="5">
        <v>1958</v>
      </c>
      <c r="B2019" s="138">
        <f>'Cap Outlay Deprec 26'!D16</f>
        <v>57142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44172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44172</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74162</v>
      </c>
      <c r="C2027" s="2" t="s">
        <v>573</v>
      </c>
      <c r="D2027" s="2" t="str">
        <f t="shared" si="30"/>
        <v>Error?</v>
      </c>
    </row>
    <row r="2028" spans="1:4" x14ac:dyDescent="0.2">
      <c r="A2028" s="5">
        <v>1967</v>
      </c>
      <c r="B2028" s="138">
        <f>'Cap Outlay Deprec 26'!F10</f>
        <v>180040</v>
      </c>
      <c r="C2028" s="2" t="s">
        <v>573</v>
      </c>
      <c r="D2028" s="2" t="str">
        <f t="shared" si="30"/>
        <v>Error?</v>
      </c>
    </row>
    <row r="2029" spans="1:4" x14ac:dyDescent="0.2">
      <c r="A2029" s="5">
        <v>1968</v>
      </c>
      <c r="B2029" s="138">
        <f>'Cap Outlay Deprec 26'!F12</f>
        <v>1531412</v>
      </c>
      <c r="C2029" s="2" t="s">
        <v>573</v>
      </c>
      <c r="D2029" s="2" t="str">
        <f t="shared" si="30"/>
        <v>Error?</v>
      </c>
    </row>
    <row r="2030" spans="1:4" x14ac:dyDescent="0.2">
      <c r="A2030" s="5">
        <v>1969</v>
      </c>
      <c r="B2030" s="138">
        <f>'Cap Outlay Deprec 26'!F13</f>
        <v>187876</v>
      </c>
      <c r="C2030" s="2" t="s">
        <v>573</v>
      </c>
      <c r="D2030" s="2" t="str">
        <f t="shared" si="30"/>
        <v>Error?</v>
      </c>
    </row>
    <row r="2031" spans="1:4" x14ac:dyDescent="0.2">
      <c r="A2031" s="5">
        <v>1970</v>
      </c>
      <c r="B2031" s="138">
        <f>'Cap Outlay Deprec 26'!F16</f>
        <v>1973490</v>
      </c>
      <c r="C2031" s="2" t="s">
        <v>573</v>
      </c>
      <c r="D2031" s="2" t="str">
        <f t="shared" si="30"/>
        <v>Error?</v>
      </c>
    </row>
    <row r="2032" spans="1:4" x14ac:dyDescent="0.2">
      <c r="A2032" s="10">
        <v>1971</v>
      </c>
      <c r="D2032" s="2" t="str">
        <f t="shared" si="30"/>
        <v>OK</v>
      </c>
    </row>
    <row r="2033" spans="1:4" x14ac:dyDescent="0.2">
      <c r="A2033" s="5">
        <v>1972</v>
      </c>
      <c r="B2033" s="138">
        <f>'Cap Outlay Deprec 26'!H8</f>
        <v>39117</v>
      </c>
      <c r="D2033" s="2" t="str">
        <f t="shared" si="30"/>
        <v>Error?</v>
      </c>
    </row>
    <row r="2034" spans="1:4" x14ac:dyDescent="0.2">
      <c r="A2034" s="5">
        <v>1973</v>
      </c>
      <c r="B2034" s="138">
        <f>'Cap Outlay Deprec 26'!H10</f>
        <v>49632</v>
      </c>
      <c r="D2034" s="2" t="str">
        <f t="shared" si="30"/>
        <v>Error?</v>
      </c>
    </row>
    <row r="2035" spans="1:4" x14ac:dyDescent="0.2">
      <c r="A2035" s="5">
        <v>1974</v>
      </c>
      <c r="B2035" s="138">
        <f>'Cap Outlay Deprec 26'!H12</f>
        <v>1411104</v>
      </c>
      <c r="D2035" s="2" t="str">
        <f t="shared" si="30"/>
        <v>Error?</v>
      </c>
    </row>
    <row r="2036" spans="1:4" x14ac:dyDescent="0.2">
      <c r="A2036" s="5">
        <v>1975</v>
      </c>
      <c r="B2036" s="138">
        <f>'Cap Outlay Deprec 26'!H13</f>
        <v>130773</v>
      </c>
      <c r="D2036" s="2" t="str">
        <f t="shared" si="30"/>
        <v>Error?</v>
      </c>
    </row>
    <row r="2037" spans="1:4" x14ac:dyDescent="0.2">
      <c r="A2037" s="5">
        <v>1976</v>
      </c>
      <c r="B2037" s="138">
        <f>'Cap Outlay Deprec 26'!H16</f>
        <v>1630626</v>
      </c>
      <c r="C2037" s="2" t="s">
        <v>573</v>
      </c>
      <c r="D2037" s="2" t="str">
        <f t="shared" si="30"/>
        <v>Error?</v>
      </c>
    </row>
    <row r="2038" spans="1:4" x14ac:dyDescent="0.2">
      <c r="A2038" s="10">
        <v>1977</v>
      </c>
      <c r="D2038" s="2" t="str">
        <f t="shared" si="30"/>
        <v>OK</v>
      </c>
    </row>
    <row r="2039" spans="1:4" x14ac:dyDescent="0.2">
      <c r="A2039" s="5">
        <v>1978</v>
      </c>
      <c r="B2039" s="138">
        <f>'Cap Outlay Deprec 26'!I8</f>
        <v>1483</v>
      </c>
      <c r="D2039" s="2" t="str">
        <f t="shared" si="30"/>
        <v>Error?</v>
      </c>
    </row>
    <row r="2040" spans="1:4" x14ac:dyDescent="0.2">
      <c r="A2040" s="5">
        <v>1979</v>
      </c>
      <c r="B2040" s="138">
        <f>'Cap Outlay Deprec 26'!I10</f>
        <v>9002</v>
      </c>
      <c r="D2040" s="2" t="str">
        <f t="shared" si="30"/>
        <v>Error?</v>
      </c>
    </row>
    <row r="2041" spans="1:4" x14ac:dyDescent="0.2">
      <c r="A2041" s="5">
        <v>1980</v>
      </c>
      <c r="B2041" s="138">
        <f>'Cap Outlay Deprec 26'!I12</f>
        <v>25088</v>
      </c>
      <c r="D2041" s="2" t="str">
        <f t="shared" si="30"/>
        <v>Error?</v>
      </c>
    </row>
    <row r="2042" spans="1:4" x14ac:dyDescent="0.2">
      <c r="A2042" s="5">
        <v>1981</v>
      </c>
      <c r="B2042" s="138">
        <f>'Cap Outlay Deprec 26'!I13</f>
        <v>11692</v>
      </c>
      <c r="D2042" s="2" t="str">
        <f t="shared" si="30"/>
        <v>Error?</v>
      </c>
    </row>
    <row r="2043" spans="1:4" x14ac:dyDescent="0.2">
      <c r="A2043" s="5">
        <v>1982</v>
      </c>
      <c r="B2043" s="138">
        <f>'Cap Outlay Deprec 26'!I16</f>
        <v>47265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44172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44172</v>
      </c>
      <c r="C2049" s="2" t="s">
        <v>573</v>
      </c>
      <c r="D2049" s="2" t="str">
        <f t="shared" si="31"/>
        <v>Error?</v>
      </c>
    </row>
    <row r="2050" spans="1:4" x14ac:dyDescent="0.2">
      <c r="A2050" s="10">
        <v>1989</v>
      </c>
      <c r="D2050" s="2" t="str">
        <f t="shared" si="31"/>
        <v>OK</v>
      </c>
    </row>
    <row r="2051" spans="1:4" x14ac:dyDescent="0.2">
      <c r="A2051" s="5">
        <v>1990</v>
      </c>
      <c r="B2051" s="138">
        <f>'Cap Outlay Deprec 26'!K8</f>
        <v>40600</v>
      </c>
      <c r="C2051" s="2" t="s">
        <v>573</v>
      </c>
      <c r="D2051" s="2" t="str">
        <f t="shared" si="31"/>
        <v>Error?</v>
      </c>
    </row>
    <row r="2052" spans="1:4" x14ac:dyDescent="0.2">
      <c r="A2052" s="5">
        <v>1991</v>
      </c>
      <c r="B2052" s="138">
        <f>'Cap Outlay Deprec 26'!K10</f>
        <v>58634</v>
      </c>
      <c r="C2052" s="2" t="s">
        <v>573</v>
      </c>
      <c r="D2052" s="2" t="str">
        <f t="shared" si="31"/>
        <v>Error?</v>
      </c>
    </row>
    <row r="2053" spans="1:4" x14ac:dyDescent="0.2">
      <c r="A2053" s="5">
        <v>1992</v>
      </c>
      <c r="B2053" s="138">
        <f>'Cap Outlay Deprec 26'!K12</f>
        <v>1392020</v>
      </c>
      <c r="C2053" s="2" t="s">
        <v>573</v>
      </c>
      <c r="D2053" s="2" t="str">
        <f t="shared" si="31"/>
        <v>Error?</v>
      </c>
    </row>
    <row r="2054" spans="1:4" x14ac:dyDescent="0.2">
      <c r="A2054" s="5">
        <v>1993</v>
      </c>
      <c r="B2054" s="138">
        <f>'Cap Outlay Deprec 26'!K13</f>
        <v>142465</v>
      </c>
      <c r="C2054" s="2" t="s">
        <v>573</v>
      </c>
      <c r="D2054" s="2" t="str">
        <f t="shared" si="31"/>
        <v>Error?</v>
      </c>
    </row>
    <row r="2055" spans="1:4" x14ac:dyDescent="0.2">
      <c r="A2055" s="5">
        <v>1994</v>
      </c>
      <c r="B2055" s="138">
        <f>'Cap Outlay Deprec 26'!K16</f>
        <v>1633719</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33562</v>
      </c>
      <c r="C2057" s="2" t="s">
        <v>573</v>
      </c>
      <c r="D2057" s="2" t="str">
        <f t="shared" si="31"/>
        <v>Error?</v>
      </c>
    </row>
    <row r="2058" spans="1:4" x14ac:dyDescent="0.2">
      <c r="A2058" s="5">
        <v>1997</v>
      </c>
      <c r="B2058" s="138">
        <f>'Cap Outlay Deprec 26'!L10</f>
        <v>121406</v>
      </c>
      <c r="C2058" s="2" t="s">
        <v>573</v>
      </c>
      <c r="D2058" s="2" t="str">
        <f t="shared" si="31"/>
        <v>Error?</v>
      </c>
    </row>
    <row r="2059" spans="1:4" x14ac:dyDescent="0.2">
      <c r="A2059" s="5">
        <v>1998</v>
      </c>
      <c r="B2059" s="138">
        <f>'Cap Outlay Deprec 26'!L12</f>
        <v>139392</v>
      </c>
      <c r="C2059" s="2" t="s">
        <v>573</v>
      </c>
      <c r="D2059" s="2" t="str">
        <f t="shared" si="31"/>
        <v>Error?</v>
      </c>
    </row>
    <row r="2060" spans="1:4" x14ac:dyDescent="0.2">
      <c r="A2060" s="5">
        <v>1999</v>
      </c>
      <c r="B2060" s="138">
        <f>'Cap Outlay Deprec 26'!L13</f>
        <v>45411</v>
      </c>
      <c r="C2060" s="2" t="s">
        <v>573</v>
      </c>
      <c r="D2060" s="2" t="str">
        <f t="shared" si="31"/>
        <v>Error?</v>
      </c>
    </row>
    <row r="2061" spans="1:4" x14ac:dyDescent="0.2">
      <c r="A2061" s="5">
        <v>2000</v>
      </c>
      <c r="B2061" s="138">
        <f>'Cap Outlay Deprec 26'!L16</f>
        <v>339771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9956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9956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201730</v>
      </c>
      <c r="C2551" s="2" t="s">
        <v>573</v>
      </c>
      <c r="D2551" s="2" t="str">
        <f t="shared" si="38"/>
        <v>Error?</v>
      </c>
    </row>
    <row r="2552" spans="1:4" x14ac:dyDescent="0.2">
      <c r="A2552" s="10">
        <v>2491</v>
      </c>
      <c r="D2552" s="2" t="str">
        <f t="shared" si="38"/>
        <v>OK</v>
      </c>
    </row>
    <row r="2553" spans="1:4" x14ac:dyDescent="0.2">
      <c r="A2553" s="5">
        <v>2492</v>
      </c>
      <c r="B2553" s="138">
        <f>'Acct Summary 7-8'!C6</f>
        <v>359514</v>
      </c>
      <c r="C2553" s="2" t="s">
        <v>573</v>
      </c>
      <c r="D2553" s="2" t="str">
        <f t="shared" si="38"/>
        <v>Error?</v>
      </c>
    </row>
    <row r="2554" spans="1:4" x14ac:dyDescent="0.2">
      <c r="A2554" s="5">
        <v>2493</v>
      </c>
      <c r="B2554" s="138">
        <f>'Acct Summary 7-8'!C7</f>
        <v>115964</v>
      </c>
      <c r="C2554" s="2" t="s">
        <v>573</v>
      </c>
      <c r="D2554" s="2" t="str">
        <f t="shared" si="38"/>
        <v>Error?</v>
      </c>
    </row>
    <row r="2555" spans="1:4" x14ac:dyDescent="0.2">
      <c r="A2555" s="5">
        <v>2494</v>
      </c>
      <c r="B2555" s="138">
        <f>'Acct Summary 7-8'!C8</f>
        <v>677208</v>
      </c>
      <c r="C2555" s="2" t="s">
        <v>573</v>
      </c>
      <c r="D2555" s="2" t="str">
        <f t="shared" si="38"/>
        <v>Error?</v>
      </c>
    </row>
    <row r="2556" spans="1:4" x14ac:dyDescent="0.2">
      <c r="A2556" s="5">
        <v>2495</v>
      </c>
      <c r="B2556" s="138">
        <f>'Acct Summary 7-8'!C12</f>
        <v>436815</v>
      </c>
      <c r="C2556" s="2" t="s">
        <v>573</v>
      </c>
      <c r="D2556" s="2" t="str">
        <f t="shared" si="38"/>
        <v>Error?</v>
      </c>
    </row>
    <row r="2557" spans="1:4" x14ac:dyDescent="0.2">
      <c r="A2557" s="5">
        <v>2496</v>
      </c>
      <c r="B2557" s="138">
        <f>'Acct Summary 7-8'!C13</f>
        <v>284610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9956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731381</v>
      </c>
      <c r="C2561" s="2" t="s">
        <v>573</v>
      </c>
      <c r="D2561" s="2" t="str">
        <f t="shared" si="39"/>
        <v>Error?</v>
      </c>
    </row>
    <row r="2562" spans="1:4" x14ac:dyDescent="0.2">
      <c r="A2562" s="5">
        <v>2501</v>
      </c>
      <c r="B2562" s="138">
        <f>'Acct Summary 7-8'!C20</f>
        <v>-54173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59304</v>
      </c>
      <c r="D2718" s="2" t="str">
        <f t="shared" si="41"/>
        <v>Error?</v>
      </c>
    </row>
    <row r="2719" spans="1:4" x14ac:dyDescent="0.2">
      <c r="A2719" s="5">
        <v>2658</v>
      </c>
      <c r="B2719" s="138">
        <f>'Expenditures 15-22'!D51</f>
        <v>18087</v>
      </c>
      <c r="D2719" s="2" t="str">
        <f t="shared" si="41"/>
        <v>Error?</v>
      </c>
    </row>
    <row r="2720" spans="1:4" x14ac:dyDescent="0.2">
      <c r="A2720" s="5">
        <v>2659</v>
      </c>
      <c r="B2720" s="138">
        <f>'Expenditures 15-22'!E51</f>
        <v>11659</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4006</v>
      </c>
      <c r="D2723" s="2" t="str">
        <f t="shared" si="41"/>
        <v>Error?</v>
      </c>
    </row>
    <row r="2724" spans="1:4" x14ac:dyDescent="0.2">
      <c r="A2724" s="5">
        <v>2663</v>
      </c>
      <c r="B2724" s="138">
        <f>'Expenditures 15-22'!K51</f>
        <v>93056</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3027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3027</v>
      </c>
      <c r="D2914" s="2" t="str">
        <f t="shared" si="44"/>
        <v>Error?</v>
      </c>
    </row>
    <row r="2915" spans="1:4" x14ac:dyDescent="0.2">
      <c r="A2915" s="10">
        <v>2854</v>
      </c>
      <c r="D2915" s="2" t="str">
        <f t="shared" si="44"/>
        <v>OK</v>
      </c>
    </row>
    <row r="2916" spans="1:4" x14ac:dyDescent="0.2">
      <c r="A2916" s="5">
        <v>2855</v>
      </c>
      <c r="B2916" s="138">
        <f>'Assets-Liab 5-6'!L34</f>
        <v>3027</v>
      </c>
      <c r="C2916" s="2" t="s">
        <v>573</v>
      </c>
      <c r="D2916" s="2" t="str">
        <f t="shared" si="44"/>
        <v>Error?</v>
      </c>
    </row>
    <row r="2917" spans="1:4" x14ac:dyDescent="0.2">
      <c r="A2917" s="5">
        <v>2856</v>
      </c>
      <c r="B2917" s="138">
        <f>'Assets-Liab 5-6'!L41</f>
        <v>3027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356</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9600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356</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9600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6531</v>
      </c>
      <c r="D3228" s="2" t="str">
        <f t="shared" si="49"/>
        <v>Error?</v>
      </c>
    </row>
    <row r="3229" spans="1:4" x14ac:dyDescent="0.2">
      <c r="A3229" s="5">
        <v>3168</v>
      </c>
      <c r="B3229" s="138">
        <f>'Acct Summary 7-8'!C44</f>
        <v>6531</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6531</v>
      </c>
      <c r="C3232" s="2" t="s">
        <v>573</v>
      </c>
      <c r="D3232" s="2" t="str">
        <f t="shared" si="49"/>
        <v>Error?</v>
      </c>
    </row>
    <row r="3233" spans="1:4" x14ac:dyDescent="0.2">
      <c r="A3233" s="5">
        <v>3172</v>
      </c>
      <c r="B3233" s="138">
        <f>'Acct Summary 7-8'!C78</f>
        <v>-47642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645391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3027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298415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975623</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298415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1029796</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645391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115964</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174644</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174644</v>
      </c>
      <c r="C5087" s="2" t="s">
        <v>573</v>
      </c>
      <c r="D5087" s="2" t="str">
        <f t="shared" si="78"/>
        <v>Error?</v>
      </c>
    </row>
    <row r="5088" spans="1:4" x14ac:dyDescent="0.2">
      <c r="A5088" s="5">
        <v>5027</v>
      </c>
      <c r="B5088" s="138">
        <f>'Revenues 9-14'!C65</f>
        <v>5581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5581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21492</v>
      </c>
      <c r="D5119" s="2" t="str">
        <f t="shared" ref="D5119:D5182" si="79">IF(ISBLANK(B5119),"OK",IF(A5119-B5119=0,"OK","Error?"))</f>
        <v>Error?</v>
      </c>
    </row>
    <row r="5120" spans="1:4" x14ac:dyDescent="0.2">
      <c r="A5120" s="5">
        <v>5059</v>
      </c>
      <c r="B5120" s="138">
        <f>'Revenues 9-14'!C108</f>
        <v>21505</v>
      </c>
      <c r="C5120" s="2" t="s">
        <v>573</v>
      </c>
      <c r="D5120" s="2" t="str">
        <f t="shared" si="79"/>
        <v>Error?</v>
      </c>
    </row>
    <row r="5121" spans="1:4" x14ac:dyDescent="0.2">
      <c r="A5121" s="5">
        <v>5060</v>
      </c>
      <c r="B5121" s="138">
        <f>'Revenues 9-14'!C109</f>
        <v>201730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359514</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359514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359514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359514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115964</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115964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115964</v>
      </c>
      <c r="C5326" s="2" t="s">
        <v>573</v>
      </c>
      <c r="D5326" s="2" t="str">
        <f t="shared" si="82"/>
        <v>Error?</v>
      </c>
    </row>
    <row r="5327" spans="1:5" x14ac:dyDescent="0.2">
      <c r="A5327" s="5">
        <v>5266</v>
      </c>
      <c r="B5327" s="138">
        <f>'Revenues 9-14'!C268</f>
        <v>677208</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-47642</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-7.3818816810274704E-2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47265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1989</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 xml:space="preserve">Five County Reg Voc System </v>
      </c>
      <c r="B7" s="2383"/>
      <c r="C7" s="2383"/>
      <c r="D7" s="2420"/>
      <c r="E7" s="2421">
        <f>COVER!A13</f>
        <v>30002748045</v>
      </c>
      <c r="F7" s="2422"/>
      <c r="G7" s="2389" t="str">
        <f>COVER!T23</f>
        <v>066-003889</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Beussink, Hey, Roe &amp; Stroder, L.L.C.</v>
      </c>
      <c r="H9" s="2396"/>
      <c r="I9" s="2396"/>
      <c r="J9" s="2396"/>
      <c r="K9" s="2396"/>
      <c r="L9" s="2397"/>
    </row>
    <row r="10" spans="1:29" ht="13.5" customHeight="1" x14ac:dyDescent="0.2">
      <c r="A10" s="2379">
        <f>COVER!A38</f>
        <v>0</v>
      </c>
      <c r="B10" s="2380"/>
      <c r="C10" s="2380"/>
      <c r="D10" s="2380"/>
      <c r="E10" s="2380"/>
      <c r="F10" s="2381"/>
      <c r="G10" s="2395" t="str">
        <f>COVER!T17</f>
        <v>16 South Silver Springs Road</v>
      </c>
      <c r="H10" s="2408"/>
      <c r="I10" s="2408"/>
      <c r="J10" s="2408"/>
      <c r="K10" s="2408"/>
      <c r="L10" s="2409"/>
    </row>
    <row r="11" spans="1:29" ht="13.5" customHeight="1" x14ac:dyDescent="0.2">
      <c r="A11" s="1184" t="s">
        <v>1519</v>
      </c>
      <c r="B11" s="1185"/>
      <c r="C11" s="1186"/>
      <c r="D11" s="1191"/>
      <c r="E11" s="1186"/>
      <c r="F11" s="1190"/>
      <c r="G11" s="2395" t="str">
        <f>COVER!T19</f>
        <v>Cape Girardeau</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jstroder@bhrcpas.com</v>
      </c>
      <c r="J13" s="2417"/>
      <c r="K13" s="2417"/>
      <c r="L13" s="2418"/>
    </row>
    <row r="14" spans="1:29" ht="13.5" customHeight="1" x14ac:dyDescent="0.2">
      <c r="A14" s="2395" t="str">
        <f>COVER!A19</f>
        <v>Second &amp; Washington Street</v>
      </c>
      <c r="B14" s="2408"/>
      <c r="C14" s="2408"/>
      <c r="D14" s="2408"/>
      <c r="E14" s="2408"/>
      <c r="F14" s="2409"/>
      <c r="G14" s="1195" t="s">
        <v>1185</v>
      </c>
      <c r="H14" s="1193"/>
      <c r="I14" s="1193"/>
      <c r="J14" s="1193"/>
      <c r="K14" s="1193"/>
      <c r="L14" s="1194"/>
    </row>
    <row r="15" spans="1:29" ht="13.5" customHeight="1" x14ac:dyDescent="0.2">
      <c r="A15" s="2395" t="str">
        <f>COVER!A21</f>
        <v>Tamms</v>
      </c>
      <c r="B15" s="2408"/>
      <c r="C15" s="2408"/>
      <c r="D15" s="2408"/>
      <c r="E15" s="2408"/>
      <c r="F15" s="2409"/>
      <c r="G15" s="2405" t="str">
        <f>COVER!T15</f>
        <v>Jeffrey C. Stroder, CPA</v>
      </c>
      <c r="H15" s="2406"/>
      <c r="I15" s="2406"/>
      <c r="J15" s="2406"/>
      <c r="K15" s="2406"/>
      <c r="L15" s="2407"/>
    </row>
    <row r="16" spans="1:29" ht="12.2" customHeight="1" x14ac:dyDescent="0.2">
      <c r="A16" s="2385">
        <f>COVER!A25</f>
        <v>62988</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573-334-7971</v>
      </c>
      <c r="H18" s="2383"/>
      <c r="I18" s="2383"/>
      <c r="J18" s="2383"/>
      <c r="K18" s="2382" t="str">
        <f>COVER!X21</f>
        <v>573-334-8875</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verticalCentered="1"/>
  <pageMargins left="0.32" right="0.32" top="0.68" bottom="1" header="0.26" footer="0.75"/>
  <pageSetup scale="90" firstPageNumber="35" fitToHeight="0" orientation="portrait" useFirstPageNumber="1" r:id="rId1"/>
  <headerFooter alignWithMargins="0">
    <oddHeader>&amp;L&amp;8Page 37&amp;R&amp;8Page 37</oddHeader>
    <oddFooter>&amp;CSee Independent Auditors' Report.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 xml:space="preserve">Five County Reg Voc System </v>
      </c>
      <c r="B1" s="2419"/>
      <c r="C1" s="2419"/>
      <c r="D1" s="2419"/>
    </row>
    <row r="2" spans="1:11" s="1212" customFormat="1" ht="12.75" x14ac:dyDescent="0.2">
      <c r="A2" s="2424">
        <f>'Single Audit Cover'!E7</f>
        <v>30002748045</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 xml:space="preserve">Five County Reg Voc System </v>
      </c>
      <c r="B1" s="2427"/>
      <c r="C1" s="2427"/>
      <c r="D1" s="2427"/>
      <c r="E1" s="2427"/>
    </row>
    <row r="2" spans="1:5" x14ac:dyDescent="0.2">
      <c r="A2" s="2428">
        <f>'Single Audit Cover'!E7</f>
        <v>30002748045</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115964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115964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115964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115964</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verticalCentered="1"/>
  <pageMargins left="0.65" right="0.5" top="0.79" bottom="1.1100000000000001" header="0.5" footer="0.8"/>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 xml:space="preserve">Five County Reg Voc System </v>
      </c>
      <c r="C1" s="2431"/>
      <c r="D1" s="2431"/>
      <c r="E1" s="2431"/>
      <c r="F1" s="2431"/>
      <c r="G1" s="2431"/>
      <c r="H1" s="2431"/>
      <c r="I1" s="2431"/>
      <c r="J1" s="2431"/>
      <c r="K1" s="2431"/>
      <c r="L1" s="2431"/>
      <c r="M1" s="2431"/>
    </row>
    <row r="2" spans="2:14" ht="15" x14ac:dyDescent="0.2">
      <c r="B2" s="2432">
        <f>'Single Audit Cover'!E7</f>
        <v>30002748045</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verticalCentered="1"/>
  <pageMargins left="0.5" right="0.5" top="0.5" bottom="0.5" header="0.25" footer="0.25"/>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 xml:space="preserve">Five County Reg Voc System </v>
      </c>
      <c r="B1" s="2436"/>
      <c r="C1" s="2436"/>
      <c r="D1" s="2436"/>
      <c r="E1" s="2436"/>
      <c r="F1" s="2436"/>
    </row>
    <row r="2" spans="1:7" ht="13.5" customHeight="1" x14ac:dyDescent="0.2">
      <c r="A2" s="2432">
        <f>'Single Audit Cover'!E7</f>
        <v>30002748045</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verticalCentered="1"/>
  <pageMargins left="1" right="1" top="0.93" bottom="0" header="0.51" footer="0.5"/>
  <pageSetup scale="7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view="pageLayout" topLeftCell="A80" colorId="8"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2064</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t="s">
        <v>2083</v>
      </c>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44" right="0.16" top="0.39" bottom="0.33" header="0.19" footer="0.17"/>
  <pageSetup scale="85"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 xml:space="preserve">Five County Reg Voc System </v>
      </c>
      <c r="C1" s="2452"/>
      <c r="D1" s="2452"/>
      <c r="E1" s="2452"/>
      <c r="F1" s="2452"/>
      <c r="G1" s="2452"/>
      <c r="H1" s="2452"/>
      <c r="I1" s="2452"/>
      <c r="J1" s="1406"/>
    </row>
    <row r="2" spans="2:10" s="317" customFormat="1" ht="12.75" customHeight="1" x14ac:dyDescent="0.2">
      <c r="B2" s="2453">
        <f>'Single Audit Cover'!E7</f>
        <v>30002748045</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1841</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verticalCentered="1"/>
  <pageMargins left="0.25" right="0.25" top="0.46" bottom="0.49" header="0.26" footer="0.28999999999999998"/>
  <pageSetup scale="85"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 xml:space="preserve">Five County Reg Voc System </v>
      </c>
      <c r="C1" s="2451"/>
      <c r="D1" s="2451"/>
      <c r="E1" s="2451"/>
      <c r="F1" s="2451"/>
      <c r="G1" s="2451"/>
      <c r="H1" s="2451"/>
      <c r="I1" s="2451"/>
      <c r="J1" s="2451"/>
      <c r="K1" s="2451"/>
      <c r="L1" s="1371"/>
      <c r="M1" s="1371"/>
    </row>
    <row r="2" spans="1:13" ht="12" customHeight="1" x14ac:dyDescent="0.2">
      <c r="B2" s="2453">
        <f>'Single Audit Cover'!E7</f>
        <v>30002748045</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0"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13"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 xml:space="preserve">Five County Reg Voc System </v>
      </c>
      <c r="C1" s="2478"/>
      <c r="D1" s="2478"/>
      <c r="E1" s="2478"/>
      <c r="F1" s="2478"/>
      <c r="G1" s="2478"/>
      <c r="H1" s="2478"/>
      <c r="I1" s="2478"/>
      <c r="J1" s="2478"/>
      <c r="K1" s="2478"/>
      <c r="L1" s="1449"/>
    </row>
    <row r="2" spans="1:12" ht="12.75" customHeight="1" x14ac:dyDescent="0.2">
      <c r="B2" s="2479">
        <f>'Single Audit Cover'!E7</f>
        <v>30002748045</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verticalCentered="1"/>
  <pageMargins left="0.32" right="0.32" top="0.44" bottom="0.27" header="0.26" footer="0.18"/>
  <pageSetup scale="90"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 xml:space="preserve">Five County Reg Voc System </v>
      </c>
      <c r="C1" s="2451"/>
      <c r="D1" s="2451"/>
      <c r="E1" s="1469"/>
    </row>
    <row r="2" spans="2:5" s="1279" customFormat="1" ht="12.75" customHeight="1" x14ac:dyDescent="0.2">
      <c r="B2" s="2453">
        <f>'Single Audit Cover'!E7</f>
        <v>30002748045</v>
      </c>
      <c r="C2" s="2453"/>
      <c r="D2" s="2453"/>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2084</v>
      </c>
      <c r="C7" s="324" t="s">
        <v>2085</v>
      </c>
      <c r="D7" s="324" t="s">
        <v>2087</v>
      </c>
      <c r="E7" s="324"/>
    </row>
    <row r="8" spans="2:5" ht="13.5" customHeight="1" x14ac:dyDescent="0.2">
      <c r="B8" s="1474"/>
      <c r="C8" s="324" t="s">
        <v>2086</v>
      </c>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rintOptions horizontalCentered="1" verticalCentered="1"/>
  <pageMargins left="0.32" right="0.32" top="0.52" bottom="0.57999999999999996" header="0.26" footer="0.26"/>
  <pageSetup scale="90"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Q27" sqref="Q2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677208</v>
      </c>
      <c r="E16" s="356"/>
      <c r="F16" s="1733">
        <f>SUM('Acct Summary 7-8'!C17,'Acct Summary 7-8'!D17,'Acct Summary 7-8'!F17)</f>
        <v>731381</v>
      </c>
      <c r="G16" s="356"/>
      <c r="H16" s="1733">
        <f>SUM(D16-F16)</f>
        <v>-54173</v>
      </c>
      <c r="I16" s="222"/>
      <c r="J16" s="1733">
        <f>SUM('Acct Summary 7-8'!C81,'Acct Summary 7-8'!D81,'Acct Summary 7-8'!F81,'Acct Summary 7-8'!I81)</f>
        <v>645391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orizontalCentered="1" headings="1"/>
  <pageMargins left="0.6" right="0.6" top="0.84" bottom="1.02" header="0.28000000000000003" footer="0.67"/>
  <pageSetup scale="9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 xml:space="preserve">Five County Reg Voc System </v>
      </c>
      <c r="E7" s="391"/>
      <c r="G7" s="252"/>
      <c r="H7" s="387"/>
      <c r="I7" s="387"/>
      <c r="J7" s="387"/>
      <c r="K7" s="387"/>
      <c r="L7" s="329"/>
      <c r="M7" s="329"/>
      <c r="N7" s="329"/>
      <c r="O7" s="329"/>
      <c r="P7" s="329"/>
    </row>
    <row r="8" spans="1:18" ht="12.75" x14ac:dyDescent="0.2">
      <c r="A8" s="329"/>
      <c r="B8" s="329"/>
      <c r="C8" s="389" t="s">
        <v>1125</v>
      </c>
      <c r="D8" s="392">
        <f>COVER!A13</f>
        <v>30002748045</v>
      </c>
      <c r="E8" s="393"/>
      <c r="G8" s="329"/>
      <c r="H8" s="329"/>
      <c r="I8" s="329"/>
      <c r="J8" s="329"/>
      <c r="K8" s="329"/>
      <c r="L8" s="329"/>
      <c r="M8" s="329"/>
      <c r="N8" s="329"/>
      <c r="O8" s="329"/>
      <c r="P8" s="329"/>
    </row>
    <row r="9" spans="1:18" ht="12.75" x14ac:dyDescent="0.2">
      <c r="A9" s="329"/>
      <c r="B9" s="329"/>
      <c r="C9" s="389" t="s">
        <v>713</v>
      </c>
      <c r="D9" s="394" t="str">
        <f>COVER!A15</f>
        <v>Johnson, Alexander, Massac, Pulaski, 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645391</v>
      </c>
      <c r="I12" s="404"/>
      <c r="J12" s="404"/>
      <c r="K12" s="405">
        <f>TRUNC((H12/H13*100000),5)/100000</f>
        <v>0.95301738899999999</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677208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731381</v>
      </c>
      <c r="I17" s="404"/>
      <c r="J17" s="416"/>
      <c r="K17" s="405">
        <f>TRUNC((H17/H18*100000),5)/100000</f>
        <v>1.0799946249000001</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677208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10.6634338</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645391</v>
      </c>
      <c r="I24" s="422"/>
      <c r="J24" s="422"/>
      <c r="K24" s="423">
        <f>TRUNC(((H24/H25*100000)/100000),2)</f>
        <v>317.67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2031.6138900000001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52" header="0.19" footer="0.35"/>
  <pageSetup scale="75"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f>243215+402176</f>
        <v>645391</v>
      </c>
      <c r="D4" s="466"/>
      <c r="E4" s="466"/>
      <c r="F4" s="466"/>
      <c r="G4" s="466"/>
      <c r="H4" s="466"/>
      <c r="I4" s="466"/>
      <c r="J4" s="467"/>
      <c r="K4" s="466"/>
      <c r="L4" s="466">
        <v>3027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645391</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3027</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v>74162</v>
      </c>
      <c r="N17" s="484"/>
    </row>
    <row r="18" spans="1:14" s="485" customFormat="1" ht="12.75" customHeight="1" x14ac:dyDescent="0.2">
      <c r="A18" s="482" t="s">
        <v>1404</v>
      </c>
      <c r="B18" s="483">
        <v>240</v>
      </c>
      <c r="C18" s="477"/>
      <c r="D18" s="477"/>
      <c r="E18" s="477"/>
      <c r="F18" s="477"/>
      <c r="G18" s="477"/>
      <c r="H18" s="477"/>
      <c r="I18" s="477"/>
      <c r="J18" s="477"/>
      <c r="K18" s="477"/>
      <c r="L18" s="477"/>
      <c r="M18" s="467">
        <v>180040</v>
      </c>
      <c r="N18" s="484"/>
    </row>
    <row r="19" spans="1:14" s="485" customFormat="1" ht="12.75" customHeight="1" x14ac:dyDescent="0.2">
      <c r="A19" s="482" t="s">
        <v>1405</v>
      </c>
      <c r="B19" s="483">
        <v>250</v>
      </c>
      <c r="C19" s="477"/>
      <c r="D19" s="477"/>
      <c r="E19" s="477"/>
      <c r="F19" s="477"/>
      <c r="G19" s="477"/>
      <c r="H19" s="477"/>
      <c r="I19" s="477"/>
      <c r="J19" s="477"/>
      <c r="K19" s="477"/>
      <c r="L19" s="477"/>
      <c r="M19" s="467">
        <v>1719288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1973490</v>
      </c>
      <c r="N23" s="1688">
        <f>SUM(N21:N22)</f>
        <v>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3027</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3027</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645391</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1973490</v>
      </c>
      <c r="N40" s="497"/>
    </row>
    <row r="41" spans="1:14" ht="13.5" customHeight="1" thickBot="1" x14ac:dyDescent="0.25">
      <c r="A41" s="1736" t="s">
        <v>655</v>
      </c>
      <c r="B41" s="1706"/>
      <c r="C41" s="1688">
        <f>(SUM(C34,C37,C38,C39))</f>
        <v>645391</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3027</v>
      </c>
      <c r="M41" s="1688">
        <f>SUM(M40)</f>
        <v>1973490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orizontalCentered="1" headings="1" gridLinesSet="0"/>
  <pageMargins left="0.3" right="0.15" top="1.1100000000000001" bottom="0.5" header="0.53"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Accompanyig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201730</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359514</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115964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677208</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298415</v>
      </c>
      <c r="D9" s="516"/>
      <c r="E9" s="481"/>
      <c r="F9" s="481"/>
      <c r="G9" s="517"/>
      <c r="H9" s="481"/>
      <c r="I9" s="509" t="s">
        <v>1169</v>
      </c>
      <c r="J9" s="478"/>
      <c r="K9" s="481"/>
      <c r="L9" s="347"/>
    </row>
    <row r="10" spans="1:13" s="519" customFormat="1" ht="13.5" thickBot="1" x14ac:dyDescent="0.25">
      <c r="A10" s="1736" t="s">
        <v>1173</v>
      </c>
      <c r="B10" s="1709"/>
      <c r="C10" s="1688">
        <f>SUM(C8:C9)</f>
        <v>975623</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436815</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284610</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9956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731381</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298415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1029796</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4" t="s">
        <v>1655</v>
      </c>
      <c r="B20" s="2125"/>
      <c r="C20" s="1746">
        <f>C8-C17</f>
        <v>-54173</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6531</v>
      </c>
      <c r="D43" s="467"/>
      <c r="E43" s="467"/>
      <c r="F43" s="467"/>
      <c r="G43" s="467"/>
      <c r="H43" s="467"/>
      <c r="I43" s="467"/>
      <c r="J43" s="467"/>
      <c r="K43" s="467"/>
      <c r="L43" s="524"/>
    </row>
    <row r="44" spans="1:12" s="485" customFormat="1" ht="13.5" customHeight="1" thickBot="1" x14ac:dyDescent="0.25">
      <c r="A44" s="2138" t="s">
        <v>374</v>
      </c>
      <c r="B44" s="2139"/>
      <c r="C44" s="1703">
        <f>SUM(C24:C43)</f>
        <v>6531</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6" t="s">
        <v>1177</v>
      </c>
      <c r="B77" s="2117"/>
      <c r="C77" s="1703">
        <f t="shared" ref="C77:K77" si="8">C44-C76</f>
        <v>6531</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0" t="s">
        <v>597</v>
      </c>
      <c r="B78" s="2121"/>
      <c r="C78" s="1702">
        <f t="shared" ref="C78:K78" si="9">C20+C77</f>
        <v>-47642</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1949</v>
      </c>
      <c r="B79" s="534"/>
      <c r="C79" s="478">
        <v>693033</v>
      </c>
      <c r="D79" s="535"/>
      <c r="E79" s="535"/>
      <c r="F79" s="535"/>
      <c r="G79" s="535"/>
      <c r="H79" s="535"/>
      <c r="I79" s="535"/>
      <c r="J79" s="535"/>
      <c r="K79" s="535"/>
      <c r="L79" s="347"/>
    </row>
    <row r="80" spans="1:12" x14ac:dyDescent="0.2">
      <c r="A80" s="2126" t="s">
        <v>1795</v>
      </c>
      <c r="B80" s="2127"/>
      <c r="C80" s="467"/>
      <c r="D80" s="467"/>
      <c r="E80" s="467"/>
      <c r="F80" s="467"/>
      <c r="G80" s="467"/>
      <c r="H80" s="467"/>
      <c r="I80" s="467"/>
      <c r="J80" s="467"/>
      <c r="K80" s="467"/>
      <c r="L80" s="347"/>
    </row>
    <row r="81" spans="1:12" ht="13.5" thickBot="1" x14ac:dyDescent="0.25">
      <c r="A81" s="2118" t="s">
        <v>1950</v>
      </c>
      <c r="B81" s="2119"/>
      <c r="C81" s="1688">
        <f>(SUM(C78:C80))</f>
        <v>645391</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-47642</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-7.3818816810274704E-2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headings="1"/>
  <pageMargins left="0.21" right="0" top="1.05" bottom="0.5" header="0.44" footer="0.35"/>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13" activePane="bottomLeft" state="frozen"/>
      <selection pane="bottomLeft" activeCell="C135" sqref="C13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v>174644</v>
      </c>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174644</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5581</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5581</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13</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f>21505-13</f>
        <v>21492</v>
      </c>
      <c r="D107" s="466"/>
      <c r="E107" s="466"/>
      <c r="F107" s="466"/>
      <c r="G107" s="466"/>
      <c r="H107" s="466"/>
      <c r="I107" s="466"/>
      <c r="J107" s="467"/>
      <c r="K107" s="466"/>
    </row>
    <row r="108" spans="1:12" ht="12.75" customHeight="1" thickBot="1" x14ac:dyDescent="0.25">
      <c r="A108" s="1708" t="s">
        <v>487</v>
      </c>
      <c r="B108" s="1712"/>
      <c r="C108" s="1707">
        <f>SUM(C95:C107)</f>
        <v>21505</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201730</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359514</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359514</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359514</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359514</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115964</v>
      </c>
      <c r="D220" s="466"/>
      <c r="E220" s="468"/>
      <c r="F220" s="468"/>
      <c r="G220" s="466"/>
      <c r="H220" s="468"/>
      <c r="I220" s="468"/>
      <c r="J220" s="468"/>
      <c r="K220" s="468"/>
    </row>
    <row r="221" spans="1:11" ht="12.75" customHeight="1" thickBot="1" x14ac:dyDescent="0.25">
      <c r="A221" s="1723" t="s">
        <v>1085</v>
      </c>
      <c r="B221" s="1724"/>
      <c r="C221" s="1707">
        <f>SUM(C219:C220)</f>
        <v>115964</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1937</v>
      </c>
      <c r="B261" s="470">
        <v>4981</v>
      </c>
      <c r="C261" s="575"/>
      <c r="D261" s="576"/>
      <c r="E261" s="468"/>
      <c r="F261" s="576"/>
      <c r="G261" s="576"/>
      <c r="H261" s="468"/>
      <c r="I261" s="468"/>
      <c r="J261" s="468"/>
      <c r="K261" s="468"/>
    </row>
    <row r="262" spans="1:11" ht="12.75" customHeight="1" thickTop="1" thickBot="1" x14ac:dyDescent="0.25">
      <c r="A262" s="1932"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115964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115964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677208</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orizontalCentered="1" headings="1" gridLines="1"/>
  <pageMargins left="0.25" right="0.15" top="0.66" bottom="0.46" header="0.26" footer="0.35"/>
  <pageSetup scale="6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84" activePane="bottomLeft" state="frozen"/>
      <selection pane="bottomLeft" activeCell="L124" sqref="L12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280113</v>
      </c>
      <c r="D13" s="466">
        <v>32744</v>
      </c>
      <c r="E13" s="466">
        <v>6231</v>
      </c>
      <c r="F13" s="466">
        <v>60452</v>
      </c>
      <c r="G13" s="466">
        <v>57275</v>
      </c>
      <c r="H13" s="466"/>
      <c r="I13" s="467"/>
      <c r="J13" s="467"/>
      <c r="K13" s="1671">
        <f t="shared" si="0"/>
        <v>436815</v>
      </c>
      <c r="L13" s="466">
        <v>426855</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280113</v>
      </c>
      <c r="D33" s="1670">
        <f t="shared" ref="D33:L33" si="1">SUM(D5:D32)</f>
        <v>32744</v>
      </c>
      <c r="E33" s="1670">
        <f t="shared" si="1"/>
        <v>6231</v>
      </c>
      <c r="F33" s="1670">
        <f t="shared" si="1"/>
        <v>60452</v>
      </c>
      <c r="G33" s="1670">
        <f t="shared" si="1"/>
        <v>57275</v>
      </c>
      <c r="H33" s="1670">
        <f t="shared" si="1"/>
        <v>0</v>
      </c>
      <c r="I33" s="1670">
        <f t="shared" si="1"/>
        <v>0</v>
      </c>
      <c r="J33" s="1670">
        <f t="shared" si="1"/>
        <v>0</v>
      </c>
      <c r="K33" s="1670">
        <f t="shared" si="1"/>
        <v>436815</v>
      </c>
      <c r="L33" s="1670">
        <f t="shared" si="1"/>
        <v>426855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78211</v>
      </c>
      <c r="D44" s="481">
        <v>27130</v>
      </c>
      <c r="E44" s="481">
        <v>14029</v>
      </c>
      <c r="F44" s="481">
        <v>167</v>
      </c>
      <c r="G44" s="481"/>
      <c r="H44" s="481"/>
      <c r="I44" s="467"/>
      <c r="J44" s="467"/>
      <c r="K44" s="1672">
        <f>SUM(C44:J44)</f>
        <v>119537</v>
      </c>
      <c r="L44" s="481">
        <v>136171</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v>525</v>
      </c>
      <c r="F46" s="466"/>
      <c r="G46" s="466"/>
      <c r="H46" s="466"/>
      <c r="I46" s="467"/>
      <c r="J46" s="467"/>
      <c r="K46" s="1672">
        <f>SUM(C46:J46)</f>
        <v>525</v>
      </c>
      <c r="L46" s="466">
        <v>525</v>
      </c>
    </row>
    <row r="47" spans="1:14" ht="12.75" customHeight="1" thickBot="1" x14ac:dyDescent="0.25">
      <c r="A47" s="1668" t="s">
        <v>561</v>
      </c>
      <c r="B47" s="1669" t="s">
        <v>32</v>
      </c>
      <c r="C47" s="1670">
        <f>SUM(C44:C46)</f>
        <v>78211</v>
      </c>
      <c r="D47" s="1670">
        <f t="shared" ref="D47:K47" si="4">SUM(D44:D46)</f>
        <v>27130</v>
      </c>
      <c r="E47" s="1670">
        <f t="shared" si="4"/>
        <v>14554</v>
      </c>
      <c r="F47" s="1670">
        <f t="shared" si="4"/>
        <v>167</v>
      </c>
      <c r="G47" s="1670">
        <f t="shared" si="4"/>
        <v>0</v>
      </c>
      <c r="H47" s="1670">
        <f t="shared" si="4"/>
        <v>0</v>
      </c>
      <c r="I47" s="1670">
        <f t="shared" si="4"/>
        <v>0</v>
      </c>
      <c r="J47" s="1670">
        <f t="shared" si="4"/>
        <v>0</v>
      </c>
      <c r="K47" s="1670">
        <f t="shared" si="4"/>
        <v>120062</v>
      </c>
      <c r="L47" s="1670">
        <f>SUM(L44:L46)</f>
        <v>136696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1446</v>
      </c>
      <c r="D49" s="481">
        <v>111</v>
      </c>
      <c r="E49" s="481">
        <v>220</v>
      </c>
      <c r="F49" s="481"/>
      <c r="G49" s="481"/>
      <c r="H49" s="481"/>
      <c r="I49" s="467"/>
      <c r="J49" s="467"/>
      <c r="K49" s="1672">
        <f>SUM(C49:J49)</f>
        <v>1777</v>
      </c>
      <c r="L49" s="481">
        <v>1778</v>
      </c>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v>59304</v>
      </c>
      <c r="D51" s="466">
        <v>18087</v>
      </c>
      <c r="E51" s="466">
        <v>11659</v>
      </c>
      <c r="F51" s="466"/>
      <c r="G51" s="466"/>
      <c r="H51" s="466">
        <v>4006</v>
      </c>
      <c r="I51" s="467"/>
      <c r="J51" s="467"/>
      <c r="K51" s="1672">
        <f>SUM(C51:J51)</f>
        <v>93056</v>
      </c>
      <c r="L51" s="466">
        <v>94634</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60750</v>
      </c>
      <c r="D53" s="1670">
        <f t="shared" ref="D53:L53" si="5">SUM(D49:D52)</f>
        <v>18198</v>
      </c>
      <c r="E53" s="1670">
        <f t="shared" si="5"/>
        <v>11879</v>
      </c>
      <c r="F53" s="1670">
        <f t="shared" si="5"/>
        <v>0</v>
      </c>
      <c r="G53" s="1670">
        <f t="shared" si="5"/>
        <v>0</v>
      </c>
      <c r="H53" s="1670">
        <f t="shared" si="5"/>
        <v>4006</v>
      </c>
      <c r="I53" s="1670">
        <f t="shared" si="5"/>
        <v>0</v>
      </c>
      <c r="J53" s="1670">
        <f t="shared" si="5"/>
        <v>0</v>
      </c>
      <c r="K53" s="1670">
        <f t="shared" si="5"/>
        <v>94833</v>
      </c>
      <c r="L53" s="1670">
        <f t="shared" si="5"/>
        <v>96412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15021</v>
      </c>
      <c r="D60" s="466">
        <v>5918</v>
      </c>
      <c r="E60" s="466">
        <v>2838</v>
      </c>
      <c r="F60" s="466">
        <v>601</v>
      </c>
      <c r="G60" s="466"/>
      <c r="H60" s="466"/>
      <c r="I60" s="467"/>
      <c r="J60" s="467"/>
      <c r="K60" s="1672">
        <f t="shared" si="7"/>
        <v>24378</v>
      </c>
      <c r="L60" s="466">
        <v>26312</v>
      </c>
      <c r="M60" s="609"/>
      <c r="N60" s="609"/>
    </row>
    <row r="61" spans="1:14" s="343" customFormat="1" x14ac:dyDescent="0.2">
      <c r="A61" s="1504" t="s">
        <v>197</v>
      </c>
      <c r="B61" s="614">
        <v>2540</v>
      </c>
      <c r="C61" s="466"/>
      <c r="D61" s="466"/>
      <c r="E61" s="466">
        <v>28812</v>
      </c>
      <c r="F61" s="466">
        <v>16525</v>
      </c>
      <c r="G61" s="466"/>
      <c r="H61" s="466"/>
      <c r="I61" s="467"/>
      <c r="J61" s="467"/>
      <c r="K61" s="1672">
        <f t="shared" si="7"/>
        <v>45337</v>
      </c>
      <c r="L61" s="466">
        <v>51204</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15021</v>
      </c>
      <c r="D65" s="1670">
        <f t="shared" ref="D65:L65" si="8">SUM(D59:D64)</f>
        <v>5918</v>
      </c>
      <c r="E65" s="1670">
        <f t="shared" si="8"/>
        <v>31650</v>
      </c>
      <c r="F65" s="1670">
        <f t="shared" si="8"/>
        <v>17126</v>
      </c>
      <c r="G65" s="1670">
        <f t="shared" si="8"/>
        <v>0</v>
      </c>
      <c r="H65" s="1670">
        <f t="shared" si="8"/>
        <v>0</v>
      </c>
      <c r="I65" s="1670">
        <f t="shared" si="8"/>
        <v>0</v>
      </c>
      <c r="J65" s="1670">
        <f t="shared" si="8"/>
        <v>0</v>
      </c>
      <c r="K65" s="1670">
        <f t="shared" si="8"/>
        <v>69715</v>
      </c>
      <c r="L65" s="1670">
        <f t="shared" si="8"/>
        <v>77516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153982</v>
      </c>
      <c r="D74" s="1677">
        <f t="shared" ref="D74:K74" si="10">SUM(D42,D47,D53,D57,D65,D72,D73)</f>
        <v>51246</v>
      </c>
      <c r="E74" s="1677">
        <f t="shared" si="10"/>
        <v>58083</v>
      </c>
      <c r="F74" s="1677">
        <f t="shared" si="10"/>
        <v>17293</v>
      </c>
      <c r="G74" s="1677">
        <f t="shared" si="10"/>
        <v>0</v>
      </c>
      <c r="H74" s="1677">
        <f t="shared" si="10"/>
        <v>4006</v>
      </c>
      <c r="I74" s="1677">
        <f t="shared" si="10"/>
        <v>0</v>
      </c>
      <c r="J74" s="1677">
        <f t="shared" si="10"/>
        <v>0</v>
      </c>
      <c r="K74" s="1677">
        <f t="shared" si="10"/>
        <v>284610</v>
      </c>
      <c r="L74" s="1677">
        <f>SUM(L42,L47,L53,L57,L65,L72,L73)</f>
        <v>310624</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356</v>
      </c>
      <c r="I81" s="477"/>
      <c r="J81" s="477"/>
      <c r="K81" s="1671">
        <f t="shared" si="11"/>
        <v>356</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9600</v>
      </c>
      <c r="I83" s="477"/>
      <c r="J83" s="477"/>
      <c r="K83" s="1671">
        <f t="shared" si="11"/>
        <v>9600</v>
      </c>
      <c r="L83" s="466">
        <v>10612</v>
      </c>
    </row>
    <row r="84" spans="1:12" ht="13.5" thickBot="1" x14ac:dyDescent="0.25">
      <c r="A84" s="1668" t="s">
        <v>1485</v>
      </c>
      <c r="B84" s="1678">
        <v>4100</v>
      </c>
      <c r="C84" s="616"/>
      <c r="D84" s="616"/>
      <c r="E84" s="1670">
        <f>SUM(E78:E83)</f>
        <v>0</v>
      </c>
      <c r="F84" s="616"/>
      <c r="G84" s="616"/>
      <c r="H84" s="1670">
        <f>SUM(H78:H83)</f>
        <v>9956</v>
      </c>
      <c r="I84" s="477"/>
      <c r="J84" s="477"/>
      <c r="K84" s="1670">
        <f>SUM(K78:K83)</f>
        <v>9956</v>
      </c>
      <c r="L84" s="1670">
        <f>SUM(L78:L83)</f>
        <v>10612</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9956</v>
      </c>
      <c r="I102" s="477"/>
      <c r="J102" s="477"/>
      <c r="K102" s="1677">
        <f>SUM(K84,K92,K100,K101)</f>
        <v>9956</v>
      </c>
      <c r="L102" s="1677">
        <f>SUM(L84,L92,L100,L101)</f>
        <v>10612</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434095</v>
      </c>
      <c r="D114" s="1670">
        <f t="shared" ref="D114:K114" si="13">SUM(D33,D74,D75,D102,D112,D113)</f>
        <v>83990</v>
      </c>
      <c r="E114" s="1670">
        <f t="shared" si="13"/>
        <v>64314</v>
      </c>
      <c r="F114" s="1670">
        <f t="shared" si="13"/>
        <v>77745</v>
      </c>
      <c r="G114" s="1670">
        <f t="shared" si="13"/>
        <v>57275</v>
      </c>
      <c r="H114" s="1670">
        <f>SUM(H33,H74,H75,H102,H112,H113)</f>
        <v>13962</v>
      </c>
      <c r="I114" s="1670">
        <f t="shared" si="13"/>
        <v>0</v>
      </c>
      <c r="J114" s="1670">
        <f t="shared" si="13"/>
        <v>0</v>
      </c>
      <c r="K114" s="1670">
        <f t="shared" si="13"/>
        <v>731381</v>
      </c>
      <c r="L114" s="1670">
        <f>SUM(L33,L74,L75,L102,L112,L113)</f>
        <v>748091</v>
      </c>
    </row>
    <row r="115" spans="1:14" ht="13.5" thickTop="1" x14ac:dyDescent="0.2">
      <c r="A115" s="2154" t="s">
        <v>996</v>
      </c>
      <c r="B115" s="2155"/>
      <c r="C115" s="618"/>
      <c r="D115" s="618"/>
      <c r="E115" s="618"/>
      <c r="F115" s="618"/>
      <c r="G115" s="618"/>
      <c r="H115" s="618"/>
      <c r="I115" s="618"/>
      <c r="J115" s="618"/>
      <c r="K115" s="1684">
        <f>'Revenues 9-14'!C268-'Expenditures 15-22'!K114</f>
        <v>-54173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1"/>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4" t="s">
        <v>1178</v>
      </c>
      <c r="B152" s="2175"/>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4" t="s">
        <v>996</v>
      </c>
      <c r="B175" s="2155"/>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4" t="s">
        <v>996</v>
      </c>
      <c r="B211" s="2155"/>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4" t="s">
        <v>996</v>
      </c>
      <c r="B296" s="2155"/>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7" t="s">
        <v>996</v>
      </c>
      <c r="B343" s="2168"/>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4" t="s">
        <v>996</v>
      </c>
      <c r="B368" s="2155"/>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orizontalCentered="1" headings="1" gridLinesSet="0"/>
  <pageMargins left="0.1" right="0.2" top="1.1100000000000001" bottom="0.5" header="0.53" footer="0.35"/>
  <pageSetup scale="65"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4d435f69-8686-490b-bd6d-b153bf22ab50"/>
    <ds:schemaRef ds:uri="d21dc803-237d-4c68-8692-8d731fd29118"/>
    <ds:schemaRef ds:uri="http://purl.org/dc/elements/1.1/"/>
    <ds:schemaRef ds:uri="http://purl.org/dc/dcmitype/"/>
    <ds:schemaRef ds:uri="6ce3111e-7420-4802-b50a-75d4e9a0b980"/>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2019-09-26T19:39:22Z</cp:lastPrinted>
  <dcterms:created xsi:type="dcterms:W3CDTF">2003-10-29T19:06:34Z</dcterms:created>
  <dcterms:modified xsi:type="dcterms:W3CDTF">2019-11-13T15:13:39Z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