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B5122E35-B57E-4517-BEE2-56B075A839A2}"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19" sheetId="187" r:id="rId29"/>
    <sheet name="SEFA NOTES " sheetId="183" r:id="rId30"/>
    <sheet name="SF&amp;QC Sec-1" sheetId="174" r:id="rId31"/>
    <sheet name="SF&amp;QC Sec-2" sheetId="175" r:id="rId32"/>
    <sheet name="SF&amp;QC Sec-3" sheetId="176" r:id="rId33"/>
    <sheet name="SSPAF" sheetId="177" r:id="rId34"/>
    <sheet name="SSPAF " sheetId="184" r:id="rId35"/>
  </sheets>
  <definedNames>
    <definedName name="goof" localSheetId="28">#REF!</definedName>
    <definedName name="goof" localSheetId="34">#REF!</definedName>
    <definedName name="goof">#REF!</definedName>
    <definedName name="oops" localSheetId="28">#REF!</definedName>
    <definedName name="oops" localSheetId="34">#REF!</definedName>
    <definedName name="oops">#REF!</definedName>
    <definedName name="_xlnm.Print_Area" localSheetId="27">' SEFA'!$B$1:$M$46</definedName>
    <definedName name="_xlnm.Print_Area" localSheetId="28">'SEFA 19'!$A$1:$S$63</definedName>
    <definedName name="_xlnm.Print_Area" localSheetId="29">'SEFA NOTES '!$A$1:$F$56</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Print_Area_MI" localSheetId="28">'SEFA 19'!$B$28:$S$62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 19'!$1:$14</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 localSheetId="34">#REF!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 localSheetId="34">#REF!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 localSheetId="34">#REF!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 localSheetId="34">#REF!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1" i="187" l="1"/>
  <c r="O53" i="187" s="1"/>
  <c r="M51" i="187"/>
  <c r="M53" i="187" s="1"/>
  <c r="K51" i="187"/>
  <c r="K53" i="187" s="1"/>
  <c r="I51" i="187"/>
  <c r="I53" i="187" s="1"/>
  <c r="G51" i="187"/>
  <c r="G53" i="187" s="1"/>
  <c r="Q48" i="187"/>
  <c r="Q47" i="187"/>
  <c r="O40" i="187"/>
  <c r="K40" i="187"/>
  <c r="G40" i="187"/>
  <c r="Q36" i="187"/>
  <c r="Q35" i="187"/>
  <c r="M34" i="187"/>
  <c r="Q34" i="187" s="1"/>
  <c r="I34" i="187"/>
  <c r="Q31" i="187"/>
  <c r="M30" i="187"/>
  <c r="I30" i="187"/>
  <c r="I40" i="187" s="1"/>
  <c r="O24" i="187"/>
  <c r="O42" i="187" s="1"/>
  <c r="K24" i="187"/>
  <c r="G24" i="187"/>
  <c r="Q23" i="187"/>
  <c r="Q22" i="187"/>
  <c r="I22" i="187"/>
  <c r="Q20" i="187"/>
  <c r="M19" i="187"/>
  <c r="M24" i="187" s="1"/>
  <c r="I19" i="187"/>
  <c r="I24" i="187" s="1"/>
  <c r="M12" i="187"/>
  <c r="K12" i="187"/>
  <c r="M11" i="187"/>
  <c r="O55" i="187" l="1"/>
  <c r="G42" i="187"/>
  <c r="G55" i="187" s="1"/>
  <c r="K42" i="187"/>
  <c r="M40" i="187"/>
  <c r="M42" i="187" s="1"/>
  <c r="M55" i="187" s="1"/>
  <c r="I42" i="187"/>
  <c r="I55" i="187" s="1"/>
  <c r="Q51" i="187"/>
  <c r="Q53" i="187" s="1"/>
  <c r="Q30" i="187"/>
  <c r="Q40" i="187" s="1"/>
  <c r="Q42" i="187" s="1"/>
  <c r="Q55" i="187" s="1"/>
  <c r="Q19" i="187"/>
  <c r="Q24" i="187" s="1"/>
  <c r="K55" i="187"/>
  <c r="B4" i="184" l="1"/>
  <c r="A4" i="183" l="1"/>
  <c r="E34"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1" i="171"/>
  <c r="B1" i="179"/>
  <c r="B2" i="176"/>
  <c r="B1" i="175"/>
  <c r="B1" i="177"/>
  <c r="A1" i="170"/>
  <c r="A2" i="171"/>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82" i="36"/>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B6997" i="106" s="1"/>
  <c r="D6997" i="106" s="1"/>
  <c r="K94" i="29"/>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B7078" i="106" s="1"/>
  <c r="D7078" i="106"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4" i="106"/>
  <c r="D7004"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9" i="106"/>
  <c r="D7079" i="106" s="1"/>
  <c r="B7080" i="106"/>
  <c r="D7080" i="106" s="1"/>
  <c r="B7081" i="106"/>
  <c r="D7081" i="106" s="1"/>
  <c r="B7083" i="106"/>
  <c r="D7083" i="106" s="1"/>
  <c r="B7085" i="106"/>
  <c r="D7085" i="106" s="1"/>
  <c r="B7086" i="106"/>
  <c r="D7086" i="106" s="1"/>
  <c r="B7087" i="106"/>
  <c r="D7087" i="106" s="1"/>
  <c r="B7088" i="106"/>
  <c r="D7088"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6" i="108"/>
  <c r="F26" i="108"/>
  <c r="E27" i="108"/>
  <c r="G27" i="108"/>
  <c r="F31" i="108"/>
  <c r="G28" i="108"/>
  <c r="E30" i="108"/>
  <c r="G30" i="108"/>
  <c r="D31"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H33" i="118"/>
  <c r="D22" i="37"/>
  <c r="J22" i="37"/>
  <c r="D24" i="37"/>
  <c r="B4270" i="106" s="1"/>
  <c r="D4270" i="106" s="1"/>
  <c r="L5" i="11"/>
  <c r="B2056" i="106" s="1"/>
  <c r="D2056" i="106" s="1"/>
  <c r="L15" i="11" l="1"/>
  <c r="B3459" i="106" s="1"/>
  <c r="D3459" i="106" s="1"/>
  <c r="F37" i="34"/>
  <c r="F42" i="34"/>
  <c r="F50" i="34"/>
  <c r="F49" i="34"/>
  <c r="B6289" i="106"/>
  <c r="D6289" i="106" s="1"/>
  <c r="F69" i="34"/>
  <c r="F64" i="34"/>
  <c r="J210" i="29"/>
  <c r="B7072" i="106" s="1"/>
  <c r="D7072" i="106" s="1"/>
  <c r="F36" i="34"/>
  <c r="I210" i="29"/>
  <c r="B7071" i="106" s="1"/>
  <c r="D7071" i="106" s="1"/>
  <c r="B2724" i="106"/>
  <c r="D2724" i="106" s="1"/>
  <c r="H76" i="4"/>
  <c r="B3298" i="106" s="1"/>
  <c r="D3298" i="106" s="1"/>
  <c r="F36" i="108"/>
  <c r="L367" i="29"/>
  <c r="H365" i="29"/>
  <c r="B7242" i="106" s="1"/>
  <c r="D7242" i="106" s="1"/>
  <c r="J352" i="29"/>
  <c r="J367" i="29" s="1"/>
  <c r="B7245" i="106" s="1"/>
  <c r="D7245" i="106" s="1"/>
  <c r="C352" i="29"/>
  <c r="C367" i="29" s="1"/>
  <c r="B3622" i="106" s="1"/>
  <c r="D3622"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J16" i="4"/>
  <c r="B6226" i="106" s="1"/>
  <c r="D6226" i="106"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L151" i="29"/>
  <c r="C266" i="5"/>
  <c r="J24" i="12"/>
  <c r="B7730" i="106"/>
  <c r="D7730" i="106" s="1"/>
  <c r="B7270" i="106"/>
  <c r="H77" i="4" l="1"/>
  <c r="B3299" i="106" s="1"/>
  <c r="D3299" i="106" s="1"/>
  <c r="B1328" i="106"/>
  <c r="D1328" i="106" s="1"/>
  <c r="F66" i="34"/>
  <c r="B3621" i="106"/>
  <c r="D3621"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20" i="4"/>
  <c r="K78" i="4" s="1"/>
  <c r="K19" i="4"/>
  <c r="B4144" i="106" s="1"/>
  <c r="D4144" i="106" s="1"/>
  <c r="J78" i="4"/>
  <c r="J81" i="4" s="1"/>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10" i="146" l="1"/>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<sst xmlns="http://schemas.openxmlformats.org/spreadsheetml/2006/main" count="5218" uniqueCount="2173">
  <si>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</si>
  <si>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</si>
  <si>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</si>
  <si>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</si>
  <si>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</si>
  <si>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</si>
  <si>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</si>
  <si>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</si>
  <si>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</si>
  <si>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</si>
  <si>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</si>
  <si>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</si>
  <si>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</si>
  <si>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</si>
  <si>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</si>
  <si>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</si>
  <si>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</si>
  <si>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</si>
  <si>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</si>
  <si>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</si>
  <si>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</si>
  <si>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</si>
  <si>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</si>
  <si>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</si>
  <si>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</si>
  <si>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</si>
  <si>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</si>
  <si>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</si>
  <si>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</si>
  <si>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</si>
  <si>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</si>
  <si>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</si>
  <si>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</si>
  <si>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</si>
  <si>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</si>
  <si>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</si>
  <si>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</si>
  <si>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</si>
  <si>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</si>
  <si>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</si>
  <si>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</si>
  <si>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</si>
  <si>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</si>
  <si>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</si>
  <si>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</si>
  <si>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</si>
  <si>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</si>
  <si>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</si>
  <si>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</si>
  <si>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</si>
  <si>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</si>
  <si>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</si>
  <si>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</si>
  <si>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</si>
  <si>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</si>
  <si>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</si>
  <si>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</si>
  <si>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</si>
  <si>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</si>
  <si>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</si>
  <si>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</si>
  <si>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</si>
  <si>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</si>
  <si>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</si>
  <si>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</si>
  <si>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</si>
  <si>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</si>
  <si>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</si>
  <si>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</si>
  <si>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</si>
  <si>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</si>
  <si>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</si>
  <si>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</si>
  <si>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</si>
  <si>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</si>
  <si>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</si>
  <si>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</si>
  <si>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</si>
  <si>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</si>
  <si>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</si>
  <si>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</si>
  <si>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</si>
  <si>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</si>
  <si>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</si>
  <si>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</si>
  <si>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</si>
  <si>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</si>
  <si>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</si>
  <si>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</si>
  <si>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</si>
  <si>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</si>
  <si>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</si>
  <si>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</si>
  <si>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</si>
  <si>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</si>
  <si>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</si>
  <si>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</si>
  <si>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</si>
  <si>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</si>
  <si>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</si>
  <si>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</si>
  <si>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</si>
  <si>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</si>
  <si>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</si>
  <si>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</si>
  <si>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</si>
  <si>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</si>
  <si>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</si>
  <si>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</si>
  <si>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</si>
  <si>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</si>
  <si>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</si>
  <si>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</si>
  <si>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</si>
  <si>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</si>
  <si>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</si>
  <si>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</si>
  <si>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</si>
  <si>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</si>
  <si>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</si>
  <si>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</si>
  <si>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</si>
  <si>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</si>
  <si>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</si>
  <si>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</si>
  <si>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</si>
  <si>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</si>
  <si>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</si>
  <si>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</si>
  <si>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</si>
  <si>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</si>
  <si>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</si>
  <si>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</si>
  <si>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</si>
  <si>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</si>
  <si>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</si>
  <si>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</si>
  <si>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</si>
  <si>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</si>
  <si>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</si>
  <si>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</si>
  <si>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</si>
  <si>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</si>
  <si>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</si>
  <si>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</si>
  <si>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</si>
  <si>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</si>
  <si>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</si>
  <si>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</si>
  <si>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</si>
  <si>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</si>
  <si>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</si>
  <si>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</si>
  <si>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</si>
  <si>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</si>
  <si>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</si>
  <si>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</si>
  <si>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</si>
  <si>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</si>
  <si>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</si>
  <si>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</si>
  <si>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</si>
  <si>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</si>
  <si>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</si>
  <si>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</si>
  <si>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</si>
  <si>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</si>
  <si>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</si>
  <si>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</si>
  <si>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</si>
  <si>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</si>
  <si>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</si>
  <si>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</si>
  <si>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</si>
  <si>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</si>
  <si>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</si>
  <si>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</si>
  <si>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</si>
  <si>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</si>
  <si>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</si>
  <si>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</si>
  <si>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</si>
  <si>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</si>
  <si>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</si>
  <si>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</si>
  <si>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</si>
  <si>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</si>
  <si>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</si>
  <si>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</si>
  <si>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</si>
  <si>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</si>
  <si>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</si>
  <si>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</si>
  <si>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</si>
  <si>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</si>
  <si>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</si>
  <si>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</si>
  <si>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</si>
  <si>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</si>
  <si>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</si>
  <si>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</si>
  <si>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</si>
  <si>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</si>
  <si>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</si>
  <si>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</si>
  <si>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</si>
  <si>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</si>
  <si>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</si>
  <si>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</si>
  <si>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</si>
  <si>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</si>
  <si>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</si>
  <si>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</si>
  <si>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</si>
  <si>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</si>
  <si>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</si>
  <si>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</si>
  <si>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</si>
  <si>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</si>
  <si>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</si>
  <si>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</si>
  <si>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</si>
  <si>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</si>
  <si>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</si>
  <si>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</si>
  <si>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</si>
  <si>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</si>
  <si>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</si>
  <si>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</si>
  <si>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</si>
  <si>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</si>
  <si>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</si>
  <si>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</si>
  <si>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</si>
  <si>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</si>
  <si>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</si>
  <si>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</si>
  <si>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</si>
  <si>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</si>
  <si>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</si>
  <si>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</si>
  <si>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</si>
  <si>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</si>
  <si>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</si>
  <si>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</si>
  <si>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</si>
  <si>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</si>
  <si>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</si>
  <si>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</si>
  <si>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</si>
  <si>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</si>
  <si>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</si>
  <si>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</si>
  <si>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</si>
  <si>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</si>
  <si>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</si>
  <si>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</si>
  <si>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</si>
  <si>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</si>
  <si>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</si>
  <si>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</si>
  <si>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</si>
  <si>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</si>
  <si>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</si>
  <si>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</si>
  <si>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</si>
  <si>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</si>
  <si>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</si>
  <si>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</si>
  <si>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</si>
  <si>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</si>
  <si>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</si>
  <si>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</si>
  <si>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</si>
  <si>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</si>
  <si>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</si>
  <si>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</si>
  <si>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</si>
  <si>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</si>
  <si>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</si>
  <si>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</si>
  <si>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</si>
  <si>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</si>
  <si>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</si>
  <si>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</si>
  <si>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</si>
  <si>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</si>
  <si>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</si>
  <si>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</si>
  <si>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</si>
  <si>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</si>
  <si>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</si>
  <si>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</si>
  <si>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</si>
  <si>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</si>
  <si>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</si>
  <si>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</si>
  <si>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</si>
  <si>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</si>
  <si>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</si>
  <si>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</si>
  <si>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</si>
  <si>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</si>
  <si>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</si>
  <si>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</si>
  <si>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</si>
  <si>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</si>
  <si>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</si>
  <si>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</si>
  <si>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</si>
  <si>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</si>
  <si>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</si>
  <si>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</si>
  <si>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</si>
  <si>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</si>
  <si>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</si>
  <si>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</si>
  <si>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</si>
  <si>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</si>
  <si>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</si>
  <si>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</si>
  <si>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</si>
  <si>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</si>
  <si>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</si>
  <si>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</si>
  <si>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</si>
  <si>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</si>
  <si>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</si>
  <si>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</si>
  <si>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</si>
  <si>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</si>
  <si>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</si>
  <si>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</si>
  <si>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</si>
  <si>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</si>
  <si>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</si>
  <si>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</si>
  <si>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</si>
  <si>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</si>
  <si>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</si>
  <si>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</si>
  <si>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</si>
  <si>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</si>
  <si>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</si>
  <si>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</si>
  <si>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</si>
  <si>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</si>
  <si>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</si>
  <si>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</si>
  <si>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</si>
  <si>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</si>
  <si>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</si>
  <si>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</si>
  <si>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</si>
  <si>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</si>
  <si>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</si>
  <si>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</si>
  <si>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</si>
  <si>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</si>
  <si>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</si>
  <si>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</si>
  <si>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</si>
  <si>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</si>
  <si>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</si>
  <si>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</si>
  <si>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</si>
  <si>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</si>
  <si>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</si>
  <si>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</si>
  <si>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</si>
  <si>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</si>
  <si>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</si>
  <si>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</si>
  <si>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</si>
  <si>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</si>
  <si>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</si>
  <si>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</si>
  <si>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</si>
  <si>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</si>
  <si>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</si>
  <si>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</si>
  <si>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</si>
  <si>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</si>
  <si>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</si>
  <si>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</si>
  <si>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</si>
  <si>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</si>
  <si>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</si>
  <si>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</si>
  <si>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</si>
  <si>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</si>
  <si>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</si>
  <si>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</si>
  <si>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</si>
  <si>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</si>
  <si>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</si>
  <si>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</si>
  <si>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</si>
  <si>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</si>
  <si>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</si>
  <si>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</si>
  <si>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</si>
  <si>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</si>
  <si>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</si>
  <si>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</si>
  <si>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</si>
  <si>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</si>
  <si>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</si>
  <si>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</si>
  <si>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</si>
  <si>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</si>
  <si>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</si>
  <si>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</si>
  <si>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</si>
  <si>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</si>
  <si>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</si>
  <si>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</si>
  <si>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</si>
  <si>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</si>
  <si>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</si>
  <si>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</si>
  <si>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</si>
  <si>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</si>
  <si>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</si>
  <si>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</si>
  <si>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</si>
  <si>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</si>
  <si>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</si>
  <si>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</si>
  <si>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</si>
  <si>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</si>
  <si>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</si>
  <si>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</si>
  <si>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</si>
  <si>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</si>
  <si>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</si>
  <si>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</si>
  <si>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</si>
  <si>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</si>
  <si>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</si>
  <si>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</si>
  <si>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</si>
  <si>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</si>
  <si>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</si>
  <si>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</si>
  <si>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</si>
  <si>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</si>
  <si>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</si>
  <si>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</si>
  <si>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</si>
  <si>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</si>
  <si>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</si>
  <si>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</si>
  <si>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</si>
  <si>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</si>
  <si>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</si>
  <si>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</si>
  <si>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</si>
  <si>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</si>
  <si>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</si>
  <si>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</si>
  <si>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</si>
  <si>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</si>
  <si>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</si>
  <si>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</si>
  <si>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</si>
  <si>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</si>
  <si>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</si>
  <si>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</si>
  <si>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</si>
  <si>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</si>
  <si>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</si>
  <si>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</si>
  <si>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</si>
  <si>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</si>
  <si>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</si>
  <si>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</si>
  <si>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</si>
  <si>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</si>
  <si>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</si>
  <si>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</si>
  <si>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</si>
  <si>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</si>
  <si>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</si>
  <si>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</si>
  <si>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</si>
  <si>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</si>
  <si>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</si>
  <si>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</si>
  <si>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</si>
  <si>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</si>
  <si>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</si>
  <si>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</si>
  <si>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</si>
  <si>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</si>
  <si>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</si>
  <si>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</si>
  <si>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</si>
  <si>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</si>
  <si>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</si>
  <si>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</si>
  <si>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</si>
  <si>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</si>
  <si>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</si>
  <si>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</si>
  <si>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</si>
  <si>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</si>
  <si>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</si>
  <si>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</si>
  <si>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</si>
  <si>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</si>
  <si>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</si>
  <si>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</si>
  <si>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</si>
  <si>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</si>
  <si>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</si>
  <si>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</si>
  <si>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</si>
  <si>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</si>
  <si>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</si>
  <si>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</si>
  <si>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</si>
  <si>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</si>
  <si>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</si>
  <si>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</si>
  <si>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</si>
  <si>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</si>
  <si>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</si>
  <si>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</si>
  <si>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</si>
  <si>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</si>
  <si>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</si>
  <si>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</si>
  <si>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</si>
  <si>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</si>
  <si>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</si>
  <si>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</si>
  <si>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</si>
  <si>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</si>
  <si>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</si>
  <si>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</si>
  <si>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</si>
  <si>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</si>
  <si>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</si>
  <si>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</si>
  <si>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</si>
  <si>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</si>
  <si>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</si>
  <si>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</si>
  <si>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</si>
  <si>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</si>
  <si>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</si>
  <si>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</si>
  <si>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</si>
  <si>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</si>
  <si>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</si>
  <si>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</si>
  <si>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</si>
  <si>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</si>
  <si>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</si>
  <si>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</si>
  <si>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</si>
  <si>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</si>
  <si>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</si>
  <si>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</si>
  <si>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</si>
  <si>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</si>
  <si>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</si>
  <si>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</si>
  <si>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</si>
  <si>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</si>
  <si>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</si>
  <si>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</si>
  <si>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</si>
  <si>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</si>
  <si>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</si>
  <si>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</si>
  <si>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</si>
  <si>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</si>
  <si>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</si>
  <si>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</si>
  <si>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</si>
  <si>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</si>
  <si>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</si>
  <si>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</si>
  <si>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</si>
  <si>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</si>
  <si>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</si>
  <si>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</si>
  <si>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</si>
  <si>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</si>
  <si>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</si>
  <si>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</si>
  <si>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</si>
  <si>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</si>
  <si>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</si>
  <si>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</si>
  <si>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</si>
  <si>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</si>
  <si>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</si>
  <si>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</si>
  <si>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</si>
  <si>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</si>
  <si>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</si>
  <si>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</si>
  <si>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</si>
  <si>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</si>
  <si>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</si>
  <si>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</si>
  <si>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</si>
  <si>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</si>
  <si>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</si>
  <si>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</si>
  <si>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</si>
  <si>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</si>
  <si>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</si>
  <si>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</si>
  <si>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</si>
  <si>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</si>
  <si>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</si>
  <si>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</si>
  <si>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</si>
  <si>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</si>
  <si>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</si>
  <si>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</si>
  <si>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</si>
  <si>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</si>
  <si>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</si>
  <si>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</si>
  <si>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</si>
  <si>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</si>
  <si>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</si>
  <si>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</si>
  <si>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</si>
  <si>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</si>
  <si>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</si>
  <si>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</si>
  <si>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</si>
  <si>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</si>
  <si>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</si>
  <si>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</si>
  <si>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</si>
  <si>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</si>
  <si>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</si>
  <si>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</si>
  <si>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</si>
  <si>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</si>
  <si>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</si>
  <si>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</si>
  <si>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</si>
  <si>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</si>
  <si>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</si>
  <si>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</si>
  <si>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</si>
  <si>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</si>
  <si>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</si>
  <si>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</si>
  <si>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</si>
  <si>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</si>
  <si>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</si>
  <si>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</si>
  <si>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</si>
  <si>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</si>
  <si>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</si>
  <si>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</si>
  <si>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</si>
  <si>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</si>
  <si>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</si>
  <si>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</si>
  <si>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</si>
  <si>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</si>
  <si>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</si>
  <si>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</si>
  <si>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</si>
  <si>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</si>
  <si>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</si>
  <si>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</si>
  <si>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</si>
  <si>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</si>
  <si>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</si>
  <si>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</si>
  <si>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</si>
  <si>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</si>
  <si>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</si>
  <si>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</si>
  <si>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</si>
  <si>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</si>
  <si>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</si>
  <si>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</si>
  <si>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</si>
  <si>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</si>
  <si>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</si>
  <si>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</si>
  <si>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</si>
  <si>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</si>
  <si>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</si>
  <si>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</si>
  <si>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</si>
  <si>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</si>
  <si>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</si>
  <si>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</si>
  <si>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</si>
  <si>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</si>
  <si>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</si>
  <si>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</si>
  <si>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</si>
  <si>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</si>
  <si>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</si>
  <si>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</si>
  <si>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</si>
  <si>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</si>
  <si>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</si>
  <si>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</si>
  <si>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</si>
  <si>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</si>
  <si>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</si>
  <si>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</si>
  <si>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</si>
  <si>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</si>
  <si>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</si>
  <si>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</si>
  <si>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</si>
  <si>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</si>
  <si>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</si>
  <si>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</si>
  <si>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</si>
  <si>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</si>
  <si>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</si>
  <si>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</si>
  <si>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</si>
  <si>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</si>
  <si>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</si>
  <si>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</si>
  <si>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</si>
  <si>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</si>
  <si>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</si>
  <si>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</si>
  <si>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</si>
  <si>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</si>
  <si>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</si>
  <si>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</si>
  <si>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</si>
  <si>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</si>
  <si>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</si>
  <si>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</si>
  <si>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</si>
  <si>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</si>
  <si>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</si>
  <si>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</si>
  <si>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</si>
  <si>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</si>
  <si>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</si>
  <si>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</si>
  <si>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</si>
  <si>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</si>
  <si>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</si>
  <si>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</si>
  <si>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</si>
  <si>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</si>
  <si>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</si>
  <si>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</si>
  <si>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</si>
  <si>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</si>
  <si>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</si>
  <si>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</si>
  <si>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</si>
  <si>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</si>
  <si>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</si>
  <si>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</si>
  <si>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</si>
  <si>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</si>
  <si>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</si>
  <si>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</si>
  <si>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</si>
  <si>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</si>
  <si>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</si>
  <si>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</si>
  <si>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</si>
  <si>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</si>
  <si>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</si>
  <si>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</si>
  <si>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</si>
  <si>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</si>
  <si>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</si>
  <si>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</si>
  <si>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</si>
  <si>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</si>
  <si>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</si>
  <si>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</si>
  <si>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</si>
  <si>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</si>
  <si>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</si>
  <si>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</si>
  <si>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</si>
  <si>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</si>
  <si>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</si>
  <si>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</si>
  <si>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</si>
  <si>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</si>
  <si>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</si>
  <si>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</si>
  <si>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</si>
  <si>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</si>
  <si>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</si>
  <si>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</si>
  <si>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</si>
  <si>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</si>
  <si>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</si>
  <si>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</si>
  <si>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</si>
  <si>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</si>
  <si>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</si>
  <si>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</si>
  <si>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</si>
  <si>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</si>
  <si>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</si>
  <si>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</si>
  <si>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</si>
  <si>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</si>
  <si>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</si>
  <si>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</si>
  <si>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</si>
  <si>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</si>
  <si>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</si>
  <si>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</si>
  <si>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</si>
  <si>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</si>
  <si>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</si>
  <si>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</si>
  <si>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</si>
  <si>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</si>
  <si>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</si>
  <si>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</si>
  <si>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</si>
  <si>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</si>
  <si>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</si>
  <si>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</si>
  <si>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</si>
  <si>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</si>
  <si>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</si>
  <si>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</si>
  <si>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</si>
  <si>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</si>
  <si>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</si>
  <si>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</si>
  <si>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</si>
  <si>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</si>
  <si>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</si>
  <si>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</si>
  <si>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</si>
  <si>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</si>
  <si>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</si>
  <si>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</si>
  <si>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</si>
  <si>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</si>
  <si>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</si>
  <si>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</si>
  <si>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</si>
  <si>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</si>
  <si>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</si>
  <si>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</si>
  <si>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</si>
  <si>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</si>
  <si>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</si>
  <si>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</si>
  <si>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</si>
  <si>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</si>
  <si>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</si>
  <si>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</si>
  <si>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</si>
  <si>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</si>
  <si>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</si>
  <si>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</si>
  <si>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</si>
  <si>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</si>
  <si>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</si>
  <si>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</si>
  <si>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</si>
  <si>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</si>
  <si>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</si>
  <si>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</si>
  <si>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</si>
  <si>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</si>
  <si>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</si>
  <si>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</si>
  <si>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</si>
  <si>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</si>
  <si>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</si>
  <si>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</si>
  <si>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</si>
  <si>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</si>
  <si>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</si>
  <si>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</si>
  <si>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</si>
  <si>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</si>
  <si>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</si>
  <si>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</si>
  <si>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</si>
  <si>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</si>
  <si>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</si>
  <si>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</si>
  <si>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</si>
  <si>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</si>
  <si>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</si>
  <si>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</si>
  <si>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</si>
  <si>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</si>
  <si>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</si>
  <si>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</si>
  <si>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</si>
  <si>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</si>
  <si>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</si>
  <si>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</si>
  <si>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</si>
  <si>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</si>
  <si>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</si>
  <si>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</si>
  <si>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</si>
  <si>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</si>
  <si>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</si>
  <si>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</si>
  <si>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</si>
  <si>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</si>
  <si>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</si>
  <si>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</si>
  <si>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</si>
  <si>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</si>
  <si>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</si>
  <si>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</si>
  <si>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</si>
  <si>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</si>
  <si>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</si>
  <si>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</si>
  <si>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</si>
  <si>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</si>
  <si>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</si>
  <si>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</si>
  <si>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</si>
  <si>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</si>
  <si>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</si>
  <si>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</si>
  <si>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</si>
  <si>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</si>
  <si>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</si>
  <si>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</si>
  <si>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</si>
  <si>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</si>
  <si>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</si>
  <si>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</si>
  <si>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</si>
  <si>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</si>
  <si>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</si>
  <si>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</si>
  <si>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</si>
  <si>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</si>
  <si>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</si>
  <si>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</si>
  <si>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</si>
  <si>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</si>
  <si>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</si>
  <si>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</si>
  <si>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</si>
  <si>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</si>
  <si>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</si>
  <si>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</si>
  <si>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</si>
  <si>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</si>
  <si>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</si>
  <si>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</si>
  <si>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</si>
  <si>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</si>
  <si>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</si>
  <si>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</si>
  <si>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</si>
  <si>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</si>
  <si>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</si>
  <si>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</si>
  <si>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</si>
  <si>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</si>
  <si>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</si>
  <si>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</si>
  <si>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</si>
  <si>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</si>
  <si>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</si>
  <si>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</si>
  <si>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</si>
  <si>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</si>
  <si>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</si>
  <si>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</si>
  <si>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</si>
  <si>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</si>
  <si>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</si>
  <si>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</si>
  <si>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</si>
  <si>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</si>
  <si>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</si>
  <si>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</si>
  <si>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</si>
  <si>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</si>
  <si>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</si>
  <si>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</si>
  <si>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</si>
  <si>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</si>
  <si>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</si>
  <si>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</si>
  <si>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</si>
  <si>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</si>
  <si>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</si>
  <si>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</si>
  <si>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</si>
  <si>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</si>
  <si>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</si>
  <si>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</si>
  <si>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</si>
  <si>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</si>
  <si>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</si>
  <si>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</si>
  <si>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</si>
  <si>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</si>
  <si>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</si>
  <si>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</si>
  <si>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</si>
  <si>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</si>
  <si>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</si>
  <si>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</si>
  <si>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</si>
  <si>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</si>
  <si>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</si>
  <si>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</si>
  <si>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</si>
  <si>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</si>
  <si>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</si>
  <si>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</si>
  <si>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</si>
  <si>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</si>
  <si>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</si>
  <si>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</si>
  <si>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</si>
  <si>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</si>
  <si>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</si>
  <si>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</si>
  <si>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</si>
  <si>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</si>
  <si>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</si>
  <si>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</si>
  <si>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</si>
  <si>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</si>
  <si>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</si>
  <si>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</si>
  <si>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</si>
  <si>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</si>
  <si>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</si>
  <si>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</si>
  <si>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</si>
  <si>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</si>
  <si>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</si>
  <si>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</si>
  <si>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</si>
  <si>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</si>
  <si>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</si>
  <si>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</si>
  <si>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</si>
  <si>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</si>
  <si>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</si>
  <si>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</si>
  <si>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</si>
  <si>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</si>
  <si>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</si>
  <si>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</si>
  <si>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</si>
  <si>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</si>
  <si>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</si>
  <si>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</si>
  <si>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</si>
  <si>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</si>
  <si>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</si>
  <si>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</si>
  <si>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</si>
  <si>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</si>
  <si>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</si>
  <si>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</si>
  <si>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</si>
  <si>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</si>
  <si>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</si>
  <si>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</si>
  <si>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</si>
  <si>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</si>
  <si>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</si>
  <si>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</si>
  <si>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</si>
  <si>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</si>
  <si>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</si>
  <si>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</si>
  <si>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</si>
  <si>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</si>
  <si>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</si>
  <si>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</si>
  <si>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</si>
  <si>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</si>
  <si>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</si>
  <si>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</si>
  <si>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</si>
  <si>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</si>
  <si>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</si>
  <si>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</si>
  <si>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</si>
  <si>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</si>
  <si>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</si>
  <si>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</si>
  <si>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</si>
  <si>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</si>
  <si>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</si>
  <si>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</si>
  <si>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</si>
  <si>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</si>
  <si>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</si>
  <si>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</si>
  <si>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</si>
  <si>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</si>
  <si>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</si>
  <si>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</si>
  <si>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</si>
  <si>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</si>
  <si>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</si>
  <si>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</si>
  <si>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</si>
  <si>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</si>
  <si>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</si>
  <si>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</si>
  <si>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</si>
  <si>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</si>
  <si>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</si>
  <si>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</si>
  <si>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</si>
  <si>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</si>
  <si>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</si>
  <si>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</si>
  <si>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</si>
  <si>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</si>
  <si>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</si>
  <si>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</si>
  <si>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</si>
  <si>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</si>
  <si>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</si>
  <si>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</si>
  <si>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</si>
  <si>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</si>
  <si>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</si>
  <si>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</si>
  <si>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</si>
  <si>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</si>
  <si>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</si>
  <si>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</si>
  <si>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</si>
  <si>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</si>
  <si>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</si>
  <si>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</si>
  <si>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</si>
  <si>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</si>
  <si>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</si>
  <si>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</si>
  <si>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</si>
  <si>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</si>
  <si>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</si>
  <si>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</si>
  <si>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</si>
  <si>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</si>
  <si>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</si>
  <si>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</si>
  <si>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</si>
  <si>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</si>
  <si>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</si>
  <si>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</si>
  <si>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</si>
  <si>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</si>
  <si>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</si>
  <si>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</si>
  <si>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</si>
  <si>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</si>
  <si>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</si>
  <si>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</si>
  <si>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</si>
  <si>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</si>
  <si>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</si>
  <si>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</si>
  <si>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</si>
  <si>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</si>
  <si>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</si>
  <si>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</si>
  <si>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</si>
  <si>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</si>
  <si>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</si>
  <si>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</si>
  <si>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</si>
  <si>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</si>
  <si>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</si>
  <si>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</si>
  <si>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</si>
  <si>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</si>
  <si>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</si>
  <si>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</si>
  <si>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</si>
  <si>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</si>
  <si>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</si>
  <si>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</si>
  <si>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</si>
  <si>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</si>
  <si>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</si>
  <si>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</si>
  <si>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</si>
  <si>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</si>
  <si>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</si>
  <si>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</si>
  <si>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</si>
  <si>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</si>
  <si>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</si>
  <si>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</si>
  <si>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</si>
  <si>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</si>
  <si>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</si>
  <si>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</si>
  <si>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</si>
  <si>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</si>
  <si>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</si>
  <si>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</si>
  <si>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</si>
  <si>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</si>
  <si>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</si>
  <si>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</si>
  <si>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</si>
  <si>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</si>
  <si>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</si>
  <si>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</si>
  <si>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</si>
  <si>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</si>
  <si>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</si>
  <si>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</si>
  <si>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</si>
  <si>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</si>
  <si>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</si>
  <si>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</si>
  <si>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</si>
  <si>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</si>
  <si>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</si>
  <si>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</si>
  <si>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</si>
  <si>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</si>
  <si>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</si>
  <si>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</si>
  <si>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</si>
  <si>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</si>
  <si>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</si>
  <si>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</si>
  <si>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</si>
  <si>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</si>
  <si>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</si>
  <si>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</si>
  <si>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</si>
  <si>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</si>
  <si>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</si>
  <si>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</si>
  <si>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</si>
  <si>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</si>
  <si>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</si>
  <si>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</si>
  <si>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</si>
  <si>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</si>
  <si>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</si>
  <si>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</si>
  <si>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</si>
  <si>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</si>
  <si>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</si>
  <si>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</si>
  <si>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</si>
  <si>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</si>
  <si>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</si>
  <si>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</si>
  <si>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</si>
  <si>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</si>
  <si>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</si>
  <si>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</si>
  <si>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</si>
  <si>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</si>
  <si>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</si>
  <si>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</si>
  <si>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</si>
  <si>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</si>
  <si>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</si>
  <si>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</si>
  <si>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</si>
  <si>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</si>
  <si>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</si>
  <si>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</si>
  <si>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</si>
  <si>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</si>
  <si>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</si>
  <si>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</si>
  <si>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</si>
  <si>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</si>
  <si>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</si>
  <si>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</si>
  <si>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</si>
  <si>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</si>
  <si>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</si>
  <si>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</si>
  <si>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</si>
  <si>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</si>
  <si>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</si>
  <si>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</si>
  <si>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</si>
  <si>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</si>
  <si>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</si>
  <si>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</si>
  <si>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</si>
  <si>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</si>
  <si>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</si>
  <si>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</si>
  <si>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</si>
  <si>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</si>
  <si>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</si>
  <si>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</si>
  <si>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</si>
  <si>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</si>
  <si>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</si>
  <si>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</si>
  <si>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</si>
  <si>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</si>
  <si>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</si>
  <si>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</si>
  <si>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</si>
  <si>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</si>
  <si>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</si>
  <si>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</si>
  <si>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</si>
  <si>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</si>
  <si>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</si>
  <si>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</si>
  <si>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</si>
  <si>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</si>
  <si>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</si>
  <si>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</si>
  <si>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</si>
  <si>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</si>
  <si>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</si>
  <si>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</si>
  <si>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</si>
  <si>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</si>
  <si>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</si>
  <si>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</si>
  <si>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</si>
  <si>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</si>
  <si>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</si>
  <si>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</si>
  <si>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</si>
  <si>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</si>
  <si>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</si>
  <si>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</si>
  <si>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</si>
  <si>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</si>
  <si>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</si>
  <si>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</si>
  <si>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</si>
  <si>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</si>
  <si>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</si>
  <si>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</si>
  <si>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</si>
  <si>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</si>
  <si>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</si>
  <si>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</si>
  <si>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</si>
  <si>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</si>
  <si>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</si>
  <si>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</si>
  <si>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</si>
  <si>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</si>
  <si>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</si>
  <si>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</si>
  <si>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</si>
  <si>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</si>
  <si>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</si>
  <si>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</si>
  <si>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</si>
  <si>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</si>
  <si>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</si>
  <si>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</si>
  <si>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</si>
  <si>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</si>
  <si>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</si>
  <si>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</si>
  <si>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</si>
  <si>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</si>
  <si>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</si>
  <si>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</si>
  <si>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</si>
  <si>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</si>
  <si>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</si>
  <si>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</si>
  <si>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</si>
  <si>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</si>
  <si>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</si>
  <si>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</si>
  <si>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</si>
  <si>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</si>
  <si>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</si>
  <si>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</si>
  <si>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</si>
  <si>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</si>
  <si>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</si>
  <si>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</si>
  <si>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</si>
  <si>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</si>
  <si>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</si>
  <si>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</si>
  <si>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</si>
  <si>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</si>
  <si>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</si>
  <si>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</si>
  <si>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</si>
  <si>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</si>
  <si>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</si>
  <si>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</si>
  <si>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</si>
  <si>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</si>
  <si>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</si>
  <si>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</si>
  <si>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</si>
  <si>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</si>
  <si>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</si>
  <si>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</si>
  <si>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</si>
  <si>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</si>
  <si>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</si>
  <si>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</si>
  <si>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</si>
  <si>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</si>
  <si>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</si>
  <si>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</si>
  <si>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</si>
  <si>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</si>
  <si>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</si>
  <si>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</si>
  <si>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</si>
  <si>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</si>
  <si>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</si>
  <si>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</si>
  <si>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</si>
  <si>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</si>
  <si>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</si>
  <si>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</si>
  <si>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</si>
  <si>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</si>
  <si>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</si>
  <si>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</si>
  <si>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</si>
  <si>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</si>
  <si>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</si>
  <si>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</si>
  <si>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</si>
  <si>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</si>
  <si>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</si>
  <si>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</si>
  <si>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</si>
  <si>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</si>
  <si>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</si>
  <si>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</si>
  <si>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</si>
  <si>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</si>
  <si>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</si>
  <si>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</si>
  <si>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</si>
  <si>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</si>
  <si>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</si>
  <si>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</si>
  <si>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</si>
  <si>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</si>
  <si>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</si>
  <si>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</si>
  <si>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</si>
  <si>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</si>
  <si>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</si>
  <si>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</si>
  <si>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</si>
  <si>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</si>
  <si>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</si>
  <si>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</si>
  <si>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</si>
  <si>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</si>
  <si>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</si>
  <si>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</si>
  <si>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</si>
  <si>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</si>
  <si>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</si>
  <si>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</si>
  <si>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</si>
  <si>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</si>
  <si>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</si>
  <si>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</si>
  <si>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</si>
  <si>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</si>
  <si>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</si>
  <si>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</si>
  <si>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</si>
  <si>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</si>
  <si>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</si>
  <si>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</si>
  <si>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</si>
  <si>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</si>
  <si>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</si>
  <si>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</si>
  <si>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</si>
  <si>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</si>
  <si>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</si>
  <si>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</si>
  <si>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</si>
  <si>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</si>
  <si>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</si>
  <si>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</si>
  <si>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</si>
  <si>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</si>
  <si>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</si>
  <si>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</si>
  <si>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</si>
  <si>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</si>
  <si>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</si>
  <si>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</si>
  <si>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</si>
  <si>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</si>
  <si>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</si>
  <si>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</si>
  <si>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</si>
  <si>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</si>
  <si>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</si>
  <si>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</si>
  <si>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</si>
  <si>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</si>
  <si>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</si>
  <si>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</si>
  <si>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</si>
  <si>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</si>
  <si>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</si>
  <si>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</si>
  <si>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</si>
  <si>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</si>
  <si>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</si>
  <si>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</si>
  <si>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</si>
  <si>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</si>
  <si>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</si>
  <si>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</si>
  <si>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</si>
  <si>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</si>
  <si>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</si>
  <si>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</si>
  <si>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</si>
  <si>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</si>
  <si>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</si>
  <si>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</si>
  <si>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</si>
  <si>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</si>
  <si>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</si>
  <si>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</si>
  <si>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</si>
  <si>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</si>
  <si>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</si>
  <si>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</si>
  <si>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</si>
  <si>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</si>
  <si>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</si>
  <si>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</si>
  <si>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</si>
  <si>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</si>
  <si>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</si>
  <si>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</si>
  <si>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</si>
  <si>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</si>
  <si>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</si>
  <si>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</si>
  <si>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</si>
  <si>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</si>
  <si>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</si>
  <si>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</si>
  <si>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</si>
  <si>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</si>
  <si>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</si>
  <si>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</si>
  <si>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</si>
  <si>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</si>
  <si>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</si>
  <si>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</si>
  <si>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</si>
  <si>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</si>
  <si>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</si>
  <si>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</si>
  <si>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</si>
  <si>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</si>
  <si>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</si>
  <si>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</si>
  <si>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</si>
  <si>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</si>
  <si>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</si>
  <si>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</si>
  <si>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</si>
  <si>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</si>
  <si>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</si>
  <si>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</si>
  <si>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</si>
  <si>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</si>
  <si>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</si>
  <si>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</si>
  <si>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</si>
  <si>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</si>
  <si>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</si>
  <si>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</si>
  <si>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</si>
  <si>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</si>
  <si>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</si>
  <si>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</si>
  <si>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</si>
  <si>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</si>
  <si>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</si>
  <si>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</si>
  <si>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</si>
  <si>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</si>
  <si>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</si>
  <si>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</si>
  <si>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</si>
  <si>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</si>
  <si>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</si>
  <si>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</si>
  <si>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</si>
  <si>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</si>
  <si>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</si>
  <si>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</si>
  <si>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</si>
  <si>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</si>
  <si>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</si>
  <si>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</si>
  <si>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</si>
  <si>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</si>
  <si>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</si>
  <si>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</si>
  <si>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</si>
  <si>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</si>
  <si>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</si>
  <si>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</si>
  <si>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</si>
  <si>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</si>
  <si>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</si>
  <si>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</si>
  <si>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</si>
  <si>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</si>
  <si>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</si>
  <si>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</si>
  <si>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</si>
  <si>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</si>
  <si>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</si>
  <si>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</si>
  <si>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</si>
  <si>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</si>
  <si>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</si>
  <si>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</si>
  <si>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</si>
  <si>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</si>
  <si>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</si>
  <si>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</si>
  <si>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</si>
  <si>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</si>
  <si>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</si>
  <si>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</si>
  <si>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</si>
  <si>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</si>
  <si>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</si>
  <si>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</si>
  <si>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</si>
  <si>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</si>
  <si>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</si>
  <si>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</si>
  <si>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</si>
  <si>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</si>
  <si>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</si>
  <si>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</si>
  <si>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</si>
  <si>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</si>
  <si>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</si>
  <si>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</si>
  <si>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</si>
  <si>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</si>
  <si>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</si>
  <si>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</si>
  <si>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</si>
  <si>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</si>
  <si>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</si>
  <si>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</si>
  <si>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</si>
  <si>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</si>
  <si>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</si>
  <si>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</si>
  <si>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</si>
  <si>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</si>
  <si>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</si>
  <si>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</si>
  <si>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</si>
  <si>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</si>
  <si>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</si>
  <si>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</si>
  <si>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</si>
  <si>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</si>
  <si>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</si>
  <si>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</si>
  <si>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</si>
  <si>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</si>
  <si>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</si>
  <si>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</si>
  <si>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</si>
  <si>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</si>
  <si>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</si>
  <si>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</si>
  <si>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</si>
  <si>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</si>
  <si>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</si>
  <si>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</si>
  <si>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</si>
  <si>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</si>
  <si>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</si>
  <si>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</si>
  <si>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</si>
  <si>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</si>
  <si>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</si>
  <si>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</si>
  <si>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</si>
  <si>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</si>
  <si>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</si>
  <si>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</si>
  <si>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</si>
  <si>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</si>
  <si>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</si>
  <si>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</si>
  <si>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</si>
  <si>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</si>
  <si>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</si>
  <si>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</si>
  <si>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</si>
  <si>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</si>
  <si>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</si>
  <si>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</si>
  <si>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</si>
  <si>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</si>
  <si>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</si>
  <si>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</si>
  <si>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</si>
  <si>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</si>
  <si>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</si>
  <si>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</si>
  <si>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</si>
  <si>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</si>
  <si>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</si>
  <si>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</si>
  <si>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</si>
  <si>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</si>
  <si>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</si>
  <si>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</si>
  <si>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</si>
  <si>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</si>
  <si>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</si>
  <si>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</si>
  <si>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</si>
  <si>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</si>
  <si>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</si>
  <si>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</si>
  <si>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</si>
  <si>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</si>
  <si>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</si>
  <si>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</si>
  <si>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</si>
  <si>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</si>
  <si>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</si>
  <si>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</si>
  <si>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</si>
  <si>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</si>
  <si>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</si>
  <si>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</si>
  <si>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</si>
  <si>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</si>
  <si>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</si>
  <si>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</si>
  <si>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</si>
  <si>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</si>
  <si>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</si>
  <si>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</si>
  <si>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</si>
  <si>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</si>
  <si>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</si>
  <si>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</si>
  <si>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</si>
  <si>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</si>
  <si>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</si>
  <si>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</si>
  <si>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</si>
  <si>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</si>
  <si>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</si>
  <si>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</si>
  <si>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</si>
  <si>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</si>
  <si>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</si>
  <si>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</si>
  <si>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</si>
  <si>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</si>
  <si>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</si>
  <si>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</si>
  <si>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</si>
  <si>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</si>
  <si>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</si>
  <si>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</si>
  <si>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</si>
  <si>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</si>
  <si>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</si>
  <si>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</si>
  <si>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</si>
  <si>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</si>
  <si>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</si>
  <si>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</si>
  <si>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</si>
  <si>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</si>
  <si>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</si>
  <si>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</si>
  <si>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</si>
  <si>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</si>
  <si>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</si>
  <si>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</si>
  <si>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</si>
  <si>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</si>
  <si>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</si>
  <si>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</si>
  <si>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</si>
  <si>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</si>
  <si>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</si>
  <si>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</si>
  <si>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</si>
  <si>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</si>
  <si>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</si>
  <si>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</si>
  <si>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</si>
  <si>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</si>
  <si>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</si>
  <si>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</si>
  <si>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</si>
  <si>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</si>
  <si>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</si>
  <si>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</si>
  <si>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</si>
  <si>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</si>
  <si>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</si>
  <si>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</si>
  <si>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</si>
  <si>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</si>
  <si>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</si>
  <si>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</si>
  <si>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</si>
  <si>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</si>
  <si>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</si>
  <si>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</si>
  <si>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</si>
  <si>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</si>
  <si>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</si>
  <si>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</si>
  <si>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</si>
  <si>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</si>
  <si>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</si>
  <si>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</si>
  <si>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</si>
  <si>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</si>
  <si>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</si>
  <si>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</si>
  <si>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</si>
  <si>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</si>
  <si>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</si>
  <si>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</si>
  <si>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</si>
  <si>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</si>
  <si>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</si>
  <si>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</si>
  <si>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</si>
  <si>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</si>
  <si>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</si>
  <si>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</si>
  <si>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</si>
  <si>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</si>
  <si>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</si>
  <si>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</si>
  <si>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</si>
  <si>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</si>
  <si>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</si>
  <si>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</si>
  <si>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</si>
  <si>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</si>
  <si>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</si>
  <si>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</si>
  <si>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</si>
  <si>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</si>
  <si>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</si>
  <si>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</si>
  <si>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</si>
  <si>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</si>
  <si>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</si>
  <si>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</si>
  <si>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</si>
  <si>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</si>
  <si>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</si>
  <si>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</si>
  <si>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</si>
  <si>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</si>
  <si>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</si>
  <si>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</si>
  <si>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</si>
  <si>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</si>
  <si>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</si>
  <si>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</si>
  <si>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</si>
  <si>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</si>
  <si>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</si>
  <si>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</si>
  <si>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</si>
  <si>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</si>
  <si>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</si>
  <si>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</si>
  <si>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</si>
  <si>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</si>
  <si>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</si>
  <si>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</si>
  <si>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</si>
  <si>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</si>
  <si>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</si>
  <si>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</si>
  <si>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</si>
  <si>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</si>
  <si>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</si>
  <si>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</si>
  <si>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</si>
  <si>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</si>
  <si>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</si>
  <si>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</si>
  <si>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</si>
  <si>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</si>
  <si>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</si>
  <si>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</si>
  <si>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</si>
  <si>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</si>
  <si>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</si>
  <si>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</si>
  <si>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</si>
  <si>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</si>
  <si>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</si>
  <si>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</si>
  <si>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</si>
  <si>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</si>
  <si>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</si>
  <si>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</si>
  <si>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</si>
  <si>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</si>
  <si>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</si>
  <si>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</si>
  <si>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</si>
  <si>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</si>
  <si>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</si>
  <si>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</si>
  <si>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</si>
  <si>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</si>
  <si>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</si>
  <si>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</si>
  <si>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</si>
  <si>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</si>
  <si>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</si>
  <si>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</si>
  <si>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</si>
  <si>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</si>
  <si>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</si>
  <si>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</si>
  <si>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</si>
  <si>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</si>
  <si>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</si>
  <si>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</si>
  <si>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</si>
  <si>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</si>
  <si>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</si>
  <si>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</si>
  <si>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</si>
  <si>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</si>
  <si>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</si>
  <si>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</si>
  <si>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</si>
  <si>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</si>
  <si>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</si>
  <si>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</si>
  <si>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</si>
  <si>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</si>
  <si>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</si>
  <si>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</si>
  <si>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</si>
  <si>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</si>
  <si>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</si>
  <si>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</si>
  <si>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</si>
  <si>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</si>
  <si>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</si>
  <si>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</si>
  <si>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</si>
  <si>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</si>
  <si>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</si>
  <si>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</si>
  <si>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</si>
  <si>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</si>
  <si>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</si>
  <si>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</si>
  <si>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</si>
  <si>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</si>
  <si>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</si>
  <si>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</si>
  <si>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</si>
  <si>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</si>
  <si>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</si>
  <si>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</si>
  <si>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</si>
  <si>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</si>
  <si>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</si>
  <si>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</si>
  <si>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</si>
  <si>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</si>
  <si>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</si>
  <si>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</si>
  <si>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</si>
  <si>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</si>
  <si>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</si>
  <si>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</si>
  <si>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</si>
  <si>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</si>
  <si>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</si>
  <si>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</si>
  <si>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</si>
  <si>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</si>
  <si>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</si>
  <si>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</si>
  <si>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</si>
  <si>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</si>
  <si>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</si>
  <si>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</si>
  <si>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</si>
  <si>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</si>
  <si>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</si>
  <si>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</si>
  <si>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</si>
  <si>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</si>
  <si>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</si>
  <si>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</si>
  <si>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</si>
  <si>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</si>
  <si>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</si>
  <si>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</si>
  <si>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</si>
  <si>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</si>
  <si>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</si>
  <si>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</si>
  <si>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</si>
  <si>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</si>
  <si>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</si>
  <si>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</si>
  <si>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</si>
  <si>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</si>
  <si>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</si>
  <si>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SEE SEFA19 TAB</t>
  </si>
  <si>
    <t>Gorenz and Associates, Ltd.</t>
  </si>
  <si>
    <t>x</t>
  </si>
  <si>
    <t>28-037-8010-60</t>
  </si>
  <si>
    <t>Henry</t>
  </si>
  <si>
    <t>Henry-Stark Counties Special Education District No. 801</t>
  </si>
  <si>
    <t>1318 W. Sixth Street, PO Box 597</t>
  </si>
  <si>
    <t>Kewanee</t>
  </si>
  <si>
    <t>gwertheim@hscsed.com</t>
  </si>
  <si>
    <t>Thomas R. Peffer, CPA</t>
  </si>
  <si>
    <t>tpeffer@gorenzcpa.com</t>
  </si>
  <si>
    <t>T. Gregory Wertheim</t>
  </si>
  <si>
    <t>309-852-5696 Ext. 105</t>
  </si>
  <si>
    <t>309-853-4398</t>
  </si>
  <si>
    <t>See Below</t>
  </si>
  <si>
    <t>Annawan CUSD No. 226, Bradford CUSD No. 1, Cambridge CUSD No. 227, Galva CUSD No. 224, Geneseo CUSD No. 228, Kewanee CUSD No. 229, Stark CUSD No. 100, Wethersfield CUSD No. 230</t>
  </si>
  <si>
    <t>The accompanying Schedule of Expenditures of Federal Awards includes the federal grant activity of Henry-Stark Counties Special Education District No. 801 and is presented on the cash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</si>
  <si>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Henry-Stark Counties Special Education District No. 801 provided federal awards to subrecipients as follows:</t>
  </si>
  <si>
    <t>None</t>
  </si>
  <si>
    <r>
      <t xml:space="preserve">The following amounts were expended in the form of non-cash assistance by Henry-Stark Counties Special Education District No. 801 and </t>
    </r>
    <r>
      <rPr>
        <b/>
        <sz val="9"/>
        <rFont val="Calibri"/>
        <family val="2"/>
        <scheme val="minor"/>
      </rPr>
      <t>should be</t>
    </r>
    <r>
      <rPr>
        <sz val="9"/>
        <rFont val="Calibri"/>
        <family val="2"/>
        <scheme val="minor"/>
      </rPr>
      <t xml:space="preserve"> included in the Schedule of Expenditures of Federal Awards:</t>
    </r>
  </si>
  <si>
    <t>Note 6: Relationship to Basic Financial Statements and Program Financial Statements</t>
  </si>
  <si>
    <t>Federal awards received are reflected in the District's financial statements within the Educational Fund as receipts from federal sources. Amounts reported in the accompanying Schedule of Expenditures of Federal Awards agree with amounts reported in the Program Financial Report for programs which have filed final reports as of June 30, 2019 with ISBE.</t>
  </si>
  <si>
    <t>Unmodified</t>
  </si>
  <si>
    <t>IDEA Pre-School Flow-Through</t>
  </si>
  <si>
    <t>IDEA Flow-Through</t>
  </si>
  <si>
    <t>There were no findings for the prior year ended June 30, 2018.</t>
  </si>
  <si>
    <t>There were no findings for the prior year ending June 30, 2018.</t>
  </si>
  <si>
    <t>OSF St. Luke Hospital</t>
  </si>
  <si>
    <t>10-2100-300</t>
  </si>
  <si>
    <t>ED - Support Serv - Pupil - Purch Serv</t>
  </si>
  <si>
    <t>Page 11, Line 107 - 1999 - Tort assessment charged to member districts</t>
  </si>
  <si>
    <t>Page 16, Line 56 - 2490 - E-Rate Funding service (1,500) and IEP upgrades (800)</t>
  </si>
  <si>
    <t>RCDT 28-037-8010-60</t>
  </si>
  <si>
    <t xml:space="preserve">                                  Year Ending June 30, 2019                             </t>
  </si>
  <si>
    <t>ISBE</t>
  </si>
  <si>
    <t xml:space="preserve">          Receipts/Revenues          </t>
  </si>
  <si>
    <t xml:space="preserve">  Expenditures/Disbursements  </t>
  </si>
  <si>
    <t>Project</t>
  </si>
  <si>
    <t>Prior to</t>
  </si>
  <si>
    <t>7/01/18-</t>
  </si>
  <si>
    <t>Final</t>
  </si>
  <si>
    <t>Federal Grantor/Pass-Through Grantor,</t>
  </si>
  <si>
    <t>Number</t>
  </si>
  <si>
    <t>6/30/18</t>
  </si>
  <si>
    <t>6/30/19</t>
  </si>
  <si>
    <t>Encumbrances</t>
  </si>
  <si>
    <t>Program Title &amp; Major Program Designation</t>
  </si>
  <si>
    <t xml:space="preserve">        (A)        </t>
  </si>
  <si>
    <t xml:space="preserve">         (B)         </t>
  </si>
  <si>
    <t xml:space="preserve">         (C)         </t>
  </si>
  <si>
    <t xml:space="preserve">         (D)         </t>
  </si>
  <si>
    <t xml:space="preserve">         (E)         </t>
  </si>
  <si>
    <t xml:space="preserve">         (F)         </t>
  </si>
  <si>
    <t xml:space="preserve">         (G)         </t>
  </si>
  <si>
    <t xml:space="preserve">         (H)         </t>
  </si>
  <si>
    <t xml:space="preserve">         (I)         </t>
  </si>
  <si>
    <t>U.S. Department of Agriculture -</t>
  </si>
  <si>
    <t xml:space="preserve">  Pass-through program from</t>
  </si>
  <si>
    <t xml:space="preserve">  Illinois State Board of Education</t>
  </si>
  <si>
    <t>10.555</t>
  </si>
  <si>
    <t>18-4210-00</t>
  </si>
  <si>
    <t>N/A</t>
  </si>
  <si>
    <t>19-4210-00</t>
  </si>
  <si>
    <t>(1)</t>
  </si>
  <si>
    <t>18-4220-00</t>
  </si>
  <si>
    <t>19-4220-00</t>
  </si>
  <si>
    <t>Total U.S. Department of Agriculture</t>
  </si>
  <si>
    <t xml:space="preserve">U.S. Department of Education - </t>
  </si>
  <si>
    <t xml:space="preserve">   Pass-through program from </t>
  </si>
  <si>
    <t xml:space="preserve">   Illinois State Board of Education</t>
  </si>
  <si>
    <t>(M)</t>
  </si>
  <si>
    <t>IDEA - Preschool Flow-Through</t>
  </si>
  <si>
    <t>18-4600-00</t>
  </si>
  <si>
    <t>19-4600-00</t>
  </si>
  <si>
    <t>IDEA - Flow-Through</t>
  </si>
  <si>
    <t>18-4620-00</t>
  </si>
  <si>
    <t>19-4620-00</t>
  </si>
  <si>
    <t>IDEA - Flow-Through - Revenue A/C 2200</t>
  </si>
  <si>
    <t>17-4620-00</t>
  </si>
  <si>
    <t>Total U.S. Department of Education and IDEA Cluster</t>
  </si>
  <si>
    <t>Total Illinois State Board of Education</t>
  </si>
  <si>
    <t xml:space="preserve">U.S. Department of Health and Human Services- Pass-Through Program </t>
  </si>
  <si>
    <t xml:space="preserve">  from the Illinois Department of Healthcare and Family Services</t>
  </si>
  <si>
    <t xml:space="preserve">Medicaid Administrative Outreach </t>
  </si>
  <si>
    <t>18-4991-00</t>
  </si>
  <si>
    <t>19-4991-00</t>
  </si>
  <si>
    <t>Total U.S. Department of Health and Human Services - Pass Through Program</t>
  </si>
  <si>
    <t xml:space="preserve">Total U.S. Department of Health and Human Services </t>
  </si>
  <si>
    <t>Total Federal Awards</t>
  </si>
  <si>
    <t>(M) Indicates Major Federal Financial Assistance Program.</t>
  </si>
  <si>
    <t>(1)Flow-through funding distributed to sub-grantees as follows:</t>
  </si>
  <si>
    <t>Geneseo Community Unit School District No. 228 - $XX,XXX</t>
  </si>
  <si>
    <t xml:space="preserve">(1) Project not complete as of June 30, 2019. </t>
  </si>
  <si>
    <r>
      <t xml:space="preserve">1 </t>
    </r>
    <r>
      <rPr>
        <sz val="8"/>
        <rFont val="Arial"/>
        <family val="2"/>
      </rPr>
      <t xml:space="preserve"> To meet state or other requirements, auditees may decide to include certain nonfederal awards (for example, state awards) in this schedule.  If such nonfederal data are presented,</t>
    </r>
  </si>
  <si>
    <t xml:space="preserve">     they should be segregated and clearly designated as nonfederal.  The title of the schedule should also be modified to indicate that nonfederal awards are included.</t>
  </si>
  <si>
    <r>
      <t>2</t>
    </r>
    <r>
      <rPr>
        <sz val="8"/>
        <rFont val="Arial"/>
        <family val="2"/>
      </rPr>
      <t xml:space="preserve">  When the CFDA number is not available, the auditee should indicate that the CFDA number is not available and include in the schedule the program's name and, if applicable, </t>
    </r>
  </si>
  <si>
    <t xml:space="preserve">     other identifying number.</t>
  </si>
  <si>
    <r>
      <t>3</t>
    </r>
    <r>
      <rPr>
        <sz val="8"/>
        <rFont val="Arial"/>
        <family val="2"/>
      </rPr>
      <t xml:space="preserve">  When awards are received as a subrecipient, the identifying number assigned by the pass-through entity should be included in the schedule.</t>
    </r>
  </si>
  <si>
    <r>
      <t xml:space="preserve">4  </t>
    </r>
    <r>
      <rPr>
        <sz val="8"/>
        <rFont val="Arial"/>
        <family val="2"/>
      </rPr>
      <t xml:space="preserve">Circular A-133 requires that the value of federal awards expended in the form of non-cash assistance, the amount of insurance in effect during the year, and loans or loan guarantees </t>
    </r>
  </si>
  <si>
    <t xml:space="preserve">    outstanding at year end be included in either the schedule or a note to the schedule.  Although it is not required, Circular A-133 states that it is preferable to present this information in</t>
  </si>
  <si>
    <t xml:space="preserve">    the schedule (versus the notes to the schedule).  If the auditee presents non-cash assistance in the notes to the schedule, the auditor should be aware that such amounts must</t>
  </si>
  <si>
    <t xml:space="preserve">    still be included in part III of the data collection form.</t>
  </si>
  <si>
    <t>Gorenz and Associates, Ltd</t>
  </si>
  <si>
    <t>See PDF version</t>
  </si>
  <si>
    <t>Henry Stark County Spec Ed Dist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</si>
</sst>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 &quot;_);_(@_)"/>
    <numFmt numFmtId="182" formatCode="0.000_)"/>
    <numFmt numFmtId="183" formatCode="_(* #,##0_);_(* \(#,##0\);_(* &quot;-&quot;??_);_(@_)"/>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Courier"/>
    </font>
    <font>
      <b/>
      <sz val="12"/>
      <name val="Times New Roman"/>
      <family val="1"/>
    </font>
    <font>
      <b/>
      <u/>
      <sz val="11"/>
      <name val="Times New Roman"/>
      <family val="1"/>
    </font>
    <font>
      <sz val="11"/>
      <name val="Times New Roman"/>
      <family val="1"/>
    </font>
    <font>
      <u/>
      <sz val="11"/>
      <name val="Times New Roman"/>
      <family val="1"/>
    </font>
    <font>
      <u val="singleAccounting"/>
      <sz val="11"/>
      <name val="Times New Roman"/>
      <family val="1"/>
    </font>
    <font>
      <sz val="11"/>
      <name val="Courier"/>
      <family val="3"/>
    </font>
    <font>
      <b/>
      <sz val="11"/>
      <name val="Times New Roman"/>
      <family val="1"/>
    </font>
    <font>
      <u val="doubleAccounting"/>
      <sz val="11"/>
      <name val="Times New Roman"/>
      <family val="1"/>
    </font>
    <font>
      <vertAlign val="superscript"/>
      <sz val="8"/>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37" fontId="137" fillId="0" borderId="0"/>
    <xf numFmtId="43" fontId="44" fillId="0" borderId="0" applyFont="0" applyFill="0" applyBorder="0" applyAlignment="0" applyProtection="0"/>
  </cellStyleXfs>
  <cellXfs count="259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4" fillId="0" borderId="147" xfId="3" applyFont="1" applyBorder="1" applyAlignment="1" applyProtection="1">
      <alignment horizontal="center"/>
      <protection locked="0"/>
    </xf>
    <xf numFmtId="0" fontId="64" fillId="0" borderId="0" xfId="3" applyFont="1" applyAlignment="1" applyProtection="1">
      <alignment horizontal="center" vertical="center"/>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37" fontId="44" fillId="0" borderId="0" xfId="19" applyFont="1" applyFill="1" applyAlignment="1">
      <alignment horizontal="center" vertical="center"/>
    </xf>
    <xf numFmtId="37" fontId="137" fillId="0" borderId="0" xfId="19" applyFill="1" applyAlignment="1">
      <alignment vertical="center"/>
    </xf>
    <xf numFmtId="37" fontId="137" fillId="0" borderId="0" xfId="19" applyFill="1" applyAlignment="1">
      <alignment horizontal="center" vertical="center"/>
    </xf>
    <xf numFmtId="37" fontId="137" fillId="0" borderId="0" xfId="19" applyFill="1" applyBorder="1" applyAlignment="1">
      <alignment vertical="center"/>
    </xf>
    <xf numFmtId="37" fontId="137" fillId="0" borderId="0" xfId="19" applyFill="1" applyBorder="1" applyAlignment="1">
      <alignment horizontal="center" vertical="center"/>
    </xf>
    <xf numFmtId="37" fontId="137" fillId="0" borderId="0" xfId="19" applyFill="1"/>
    <xf numFmtId="37" fontId="44" fillId="0" borderId="0" xfId="19" quotePrefix="1" applyFont="1" applyFill="1" applyBorder="1" applyAlignment="1">
      <alignment horizontal="center" vertical="center"/>
    </xf>
    <xf numFmtId="37" fontId="44" fillId="0" borderId="0" xfId="19" applyFont="1" applyFill="1" applyBorder="1" applyAlignment="1">
      <alignment vertical="center"/>
    </xf>
    <xf numFmtId="37" fontId="44" fillId="0" borderId="0" xfId="19" applyFont="1" applyFill="1" applyBorder="1" applyAlignment="1">
      <alignment horizontal="centerContinuous" vertical="center"/>
    </xf>
    <xf numFmtId="37" fontId="44" fillId="0" borderId="0" xfId="19" applyFont="1" applyFill="1" applyBorder="1" applyAlignment="1">
      <alignment horizontal="left" vertical="center"/>
    </xf>
    <xf numFmtId="37" fontId="44" fillId="0" borderId="0" xfId="19" applyFont="1" applyFill="1" applyBorder="1" applyAlignment="1">
      <alignment horizontal="center" vertical="center"/>
    </xf>
    <xf numFmtId="37" fontId="140" fillId="0" borderId="0" xfId="19" applyFont="1" applyFill="1" applyBorder="1" applyAlignment="1">
      <alignment horizontal="center" vertical="center"/>
    </xf>
    <xf numFmtId="37" fontId="140" fillId="0" borderId="0" xfId="19" applyFont="1" applyFill="1" applyBorder="1" applyAlignment="1">
      <alignment horizontal="left" vertical="center"/>
    </xf>
    <xf numFmtId="37" fontId="140" fillId="0" borderId="0" xfId="19" applyFont="1" applyFill="1" applyBorder="1" applyAlignment="1">
      <alignment vertical="center"/>
    </xf>
    <xf numFmtId="37" fontId="141" fillId="0" borderId="0" xfId="19" applyFont="1" applyFill="1" applyBorder="1" applyAlignment="1">
      <alignment horizontal="centerContinuous" vertical="center"/>
    </xf>
    <xf numFmtId="37" fontId="143" fillId="0" borderId="0" xfId="19" applyFont="1" applyFill="1" applyAlignment="1">
      <alignment vertical="center"/>
    </xf>
    <xf numFmtId="37" fontId="140" fillId="0" borderId="0" xfId="19" applyFont="1" applyFill="1" applyAlignment="1">
      <alignment horizontal="center" vertical="center"/>
    </xf>
    <xf numFmtId="37" fontId="140" fillId="0" borderId="0" xfId="19" applyFont="1" applyFill="1" applyAlignment="1">
      <alignment horizontal="left" vertical="center"/>
    </xf>
    <xf numFmtId="37" fontId="140" fillId="0" borderId="0" xfId="19" applyFont="1" applyFill="1" applyAlignment="1">
      <alignment vertical="center"/>
    </xf>
    <xf numFmtId="37" fontId="140" fillId="0" borderId="0" xfId="19" quotePrefix="1" applyFont="1" applyFill="1" applyAlignment="1">
      <alignment horizontal="center" vertical="center"/>
    </xf>
    <xf numFmtId="14" fontId="140" fillId="0" borderId="0" xfId="19" quotePrefix="1" applyNumberFormat="1" applyFont="1" applyFill="1" applyAlignment="1">
      <alignment horizontal="center" vertical="center"/>
    </xf>
    <xf numFmtId="37" fontId="141" fillId="0" borderId="0" xfId="19" quotePrefix="1" applyFont="1" applyFill="1" applyAlignment="1">
      <alignment horizontal="left" vertical="center"/>
    </xf>
    <xf numFmtId="37" fontId="141" fillId="0" borderId="0" xfId="19" applyFont="1" applyFill="1" applyAlignment="1">
      <alignment horizontal="center" vertical="center"/>
    </xf>
    <xf numFmtId="37" fontId="141" fillId="0" borderId="0" xfId="19" applyNumberFormat="1" applyFont="1" applyFill="1" applyAlignment="1" applyProtection="1">
      <alignment horizontal="center" vertical="center"/>
    </xf>
    <xf numFmtId="37" fontId="140" fillId="0" borderId="0" xfId="19" applyNumberFormat="1" applyFont="1" applyFill="1" applyAlignment="1" applyProtection="1">
      <alignment vertical="center"/>
    </xf>
    <xf numFmtId="37" fontId="140" fillId="0" borderId="0" xfId="19" applyNumberFormat="1" applyFont="1" applyFill="1" applyAlignment="1" applyProtection="1">
      <alignment horizontal="center" vertical="center"/>
    </xf>
    <xf numFmtId="37" fontId="141" fillId="0" borderId="0" xfId="19" applyFont="1" applyFill="1" applyAlignment="1">
      <alignment horizontal="left" vertical="center"/>
    </xf>
    <xf numFmtId="37" fontId="144" fillId="0" borderId="0" xfId="19" applyFont="1" applyFill="1" applyAlignment="1">
      <alignment horizontal="left" vertical="center"/>
    </xf>
    <xf numFmtId="182" fontId="140" fillId="0" borderId="0" xfId="19" applyNumberFormat="1" applyFont="1" applyFill="1" applyAlignment="1" applyProtection="1">
      <alignment horizontal="center" vertical="center"/>
    </xf>
    <xf numFmtId="37" fontId="140" fillId="27" borderId="0" xfId="19" applyNumberFormat="1" applyFont="1" applyFill="1" applyAlignment="1" applyProtection="1">
      <alignment horizontal="right" vertical="center"/>
    </xf>
    <xf numFmtId="37" fontId="140" fillId="0" borderId="0" xfId="19" applyNumberFormat="1" applyFont="1" applyFill="1" applyAlignment="1" applyProtection="1">
      <alignment horizontal="right" vertical="center"/>
    </xf>
    <xf numFmtId="37" fontId="140" fillId="27" borderId="0" xfId="19" applyNumberFormat="1" applyFont="1" applyFill="1" applyAlignment="1" applyProtection="1">
      <alignment horizontal="center" vertical="center"/>
    </xf>
    <xf numFmtId="181" fontId="140" fillId="0" borderId="0" xfId="19" applyNumberFormat="1" applyFont="1" applyFill="1" applyBorder="1" applyAlignment="1">
      <alignment vertical="center"/>
    </xf>
    <xf numFmtId="37" fontId="140" fillId="0" borderId="0" xfId="19" quotePrefix="1" applyNumberFormat="1" applyFont="1" applyFill="1" applyAlignment="1" applyProtection="1">
      <alignment horizontal="right" vertical="center"/>
    </xf>
    <xf numFmtId="181" fontId="140" fillId="0" borderId="0" xfId="19" applyNumberFormat="1" applyFont="1" applyFill="1" applyBorder="1" applyAlignment="1" applyProtection="1">
      <alignment vertical="center"/>
    </xf>
    <xf numFmtId="37" fontId="140" fillId="0" borderId="0" xfId="19" applyNumberFormat="1" applyFont="1" applyFill="1" applyBorder="1" applyAlignment="1" applyProtection="1">
      <alignment horizontal="right" vertical="center"/>
    </xf>
    <xf numFmtId="181" fontId="140" fillId="0" borderId="78" xfId="19" applyNumberFormat="1" applyFont="1" applyFill="1" applyBorder="1" applyAlignment="1">
      <alignment vertical="center"/>
    </xf>
    <xf numFmtId="37" fontId="140" fillId="27" borderId="78" xfId="19" applyNumberFormat="1" applyFont="1" applyFill="1" applyBorder="1" applyAlignment="1" applyProtection="1">
      <alignment horizontal="right" vertical="center"/>
    </xf>
    <xf numFmtId="181" fontId="140" fillId="0" borderId="0" xfId="19" applyNumberFormat="1" applyFont="1" applyFill="1" applyAlignment="1">
      <alignment vertical="center"/>
    </xf>
    <xf numFmtId="181" fontId="140" fillId="0" borderId="0" xfId="19" applyNumberFormat="1" applyFont="1" applyFill="1" applyAlignment="1">
      <alignment horizontal="center" vertical="center"/>
    </xf>
    <xf numFmtId="181" fontId="140" fillId="0" borderId="0" xfId="19" applyNumberFormat="1" applyFont="1" applyFill="1" applyAlignment="1" applyProtection="1">
      <alignment vertical="center"/>
    </xf>
    <xf numFmtId="181" fontId="140" fillId="27" borderId="0" xfId="19" applyNumberFormat="1" applyFont="1" applyFill="1" applyAlignment="1">
      <alignment vertical="center"/>
    </xf>
    <xf numFmtId="181" fontId="140" fillId="27" borderId="0" xfId="19" applyNumberFormat="1" applyFont="1" applyFill="1" applyAlignment="1">
      <alignment horizontal="center" vertical="center"/>
    </xf>
    <xf numFmtId="37" fontId="140" fillId="0" borderId="0" xfId="19" applyFont="1" applyFill="1" applyAlignment="1">
      <alignment horizontal="right" vertical="center"/>
    </xf>
    <xf numFmtId="37" fontId="143" fillId="27" borderId="0" xfId="19" applyFont="1" applyFill="1" applyAlignment="1">
      <alignment vertical="center"/>
    </xf>
    <xf numFmtId="181" fontId="140" fillId="27" borderId="0" xfId="19" applyNumberFormat="1" applyFont="1" applyFill="1" applyAlignment="1" applyProtection="1">
      <alignment vertical="center"/>
    </xf>
    <xf numFmtId="183" fontId="140" fillId="27" borderId="0" xfId="19" applyNumberFormat="1" applyFont="1" applyFill="1" applyAlignment="1" applyProtection="1">
      <alignment vertical="center"/>
    </xf>
    <xf numFmtId="37" fontId="140" fillId="0" borderId="0" xfId="19" quotePrefix="1" applyFont="1" applyFill="1" applyAlignment="1">
      <alignment horizontal="left" vertical="center"/>
    </xf>
    <xf numFmtId="181" fontId="140" fillId="0" borderId="0" xfId="19" quotePrefix="1" applyNumberFormat="1" applyFont="1" applyFill="1" applyAlignment="1" applyProtection="1">
      <alignment horizontal="center" vertical="center"/>
    </xf>
    <xf numFmtId="183" fontId="140" fillId="0" borderId="0" xfId="19" applyNumberFormat="1" applyFont="1" applyFill="1" applyAlignment="1" applyProtection="1">
      <alignment vertical="center"/>
    </xf>
    <xf numFmtId="181" fontId="142" fillId="0" borderId="0" xfId="19" applyNumberFormat="1" applyFont="1" applyFill="1" applyAlignment="1">
      <alignment vertical="center"/>
    </xf>
    <xf numFmtId="181" fontId="142" fillId="20" borderId="0" xfId="19" applyNumberFormat="1" applyFont="1" applyFill="1" applyAlignment="1">
      <alignment vertical="center"/>
    </xf>
    <xf numFmtId="181" fontId="140" fillId="0" borderId="0" xfId="19" quotePrefix="1" applyNumberFormat="1" applyFont="1" applyFill="1" applyAlignment="1">
      <alignment horizontal="left" vertical="center"/>
    </xf>
    <xf numFmtId="183" fontId="142" fillId="0" borderId="0" xfId="19" applyNumberFormat="1" applyFont="1" applyFill="1" applyAlignment="1" applyProtection="1">
      <alignment vertical="center"/>
    </xf>
    <xf numFmtId="181" fontId="142" fillId="20" borderId="0" xfId="19" applyNumberFormat="1" applyFont="1" applyFill="1" applyAlignment="1">
      <alignment horizontal="center" vertical="center"/>
    </xf>
    <xf numFmtId="181" fontId="142" fillId="0" borderId="0" xfId="19" applyNumberFormat="1" applyFont="1" applyFill="1" applyAlignment="1" applyProtection="1">
      <alignment horizontal="left" vertical="center"/>
    </xf>
    <xf numFmtId="181" fontId="140" fillId="0" borderId="0" xfId="19" applyNumberFormat="1" applyFont="1" applyFill="1" applyAlignment="1" applyProtection="1">
      <alignment horizontal="left" vertical="center"/>
    </xf>
    <xf numFmtId="181" fontId="142" fillId="0" borderId="0" xfId="19" applyNumberFormat="1" applyFont="1" applyFill="1" applyAlignment="1" applyProtection="1">
      <alignment horizontal="center" vertical="center"/>
    </xf>
    <xf numFmtId="181" fontId="142" fillId="0" borderId="0" xfId="19" applyNumberFormat="1" applyFont="1" applyFill="1" applyAlignment="1">
      <alignment horizontal="center" vertical="center"/>
    </xf>
    <xf numFmtId="37" fontId="144" fillId="0" borderId="0" xfId="19" applyFont="1" applyFill="1" applyAlignment="1">
      <alignment vertical="center"/>
    </xf>
    <xf numFmtId="43" fontId="142" fillId="0" borderId="0" xfId="20" applyFont="1" applyFill="1" applyAlignment="1" applyProtection="1">
      <alignment vertical="center"/>
    </xf>
    <xf numFmtId="181" fontId="140" fillId="0" borderId="0" xfId="19" applyNumberFormat="1" applyFont="1" applyFill="1" applyAlignment="1" applyProtection="1">
      <alignment horizontal="center" vertical="center"/>
    </xf>
    <xf numFmtId="37" fontId="143" fillId="0" borderId="0" xfId="19" applyFont="1" applyFill="1" applyAlignment="1">
      <alignment horizontal="center" vertical="center"/>
    </xf>
    <xf numFmtId="43" fontId="140" fillId="0" borderId="0" xfId="20" applyFont="1" applyFill="1" applyAlignment="1">
      <alignment horizontal="center" vertical="center"/>
    </xf>
    <xf numFmtId="43" fontId="140" fillId="0" borderId="0" xfId="19" applyNumberFormat="1" applyFont="1" applyFill="1" applyBorder="1" applyAlignment="1" applyProtection="1">
      <alignment vertical="center"/>
    </xf>
    <xf numFmtId="43" fontId="142" fillId="0" borderId="0" xfId="19" applyNumberFormat="1" applyFont="1" applyFill="1" applyAlignment="1" applyProtection="1">
      <alignment vertical="center"/>
    </xf>
    <xf numFmtId="183" fontId="142" fillId="0" borderId="0" xfId="19" applyNumberFormat="1" applyFont="1" applyFill="1" applyBorder="1" applyAlignment="1" applyProtection="1">
      <alignment vertical="center"/>
    </xf>
    <xf numFmtId="181" fontId="142" fillId="27" borderId="0" xfId="19" applyNumberFormat="1" applyFont="1" applyFill="1" applyAlignment="1">
      <alignment vertical="center"/>
    </xf>
    <xf numFmtId="181" fontId="142" fillId="0" borderId="0" xfId="19" applyNumberFormat="1" applyFont="1" applyFill="1" applyBorder="1" applyAlignment="1">
      <alignment vertical="center"/>
    </xf>
    <xf numFmtId="182" fontId="140" fillId="0" borderId="0" xfId="19" applyNumberFormat="1" applyFont="1" applyFill="1" applyAlignment="1" applyProtection="1">
      <alignment vertical="center"/>
    </xf>
    <xf numFmtId="183" fontId="145" fillId="0" borderId="0" xfId="19" applyNumberFormat="1" applyFont="1" applyFill="1" applyAlignment="1" applyProtection="1">
      <alignment vertical="center"/>
    </xf>
    <xf numFmtId="181" fontId="140" fillId="0" borderId="0" xfId="19" applyNumberFormat="1" applyFont="1" applyFill="1" applyAlignment="1">
      <alignment horizontal="left" vertical="center"/>
    </xf>
    <xf numFmtId="181" fontId="143" fillId="0" borderId="0" xfId="19" applyNumberFormat="1" applyFont="1" applyFill="1" applyAlignment="1">
      <alignment vertical="center"/>
    </xf>
    <xf numFmtId="181" fontId="143" fillId="0" borderId="0" xfId="19" applyNumberFormat="1" applyFont="1" applyFill="1" applyAlignment="1">
      <alignment horizontal="center" vertical="center"/>
    </xf>
    <xf numFmtId="43" fontId="143" fillId="0" borderId="0" xfId="20" applyFont="1" applyFill="1" applyAlignment="1">
      <alignment vertical="center"/>
    </xf>
    <xf numFmtId="37" fontId="140" fillId="20" borderId="0" xfId="19" applyFont="1" applyFill="1" applyAlignment="1">
      <alignment vertical="center"/>
    </xf>
    <xf numFmtId="182" fontId="143" fillId="20" borderId="0" xfId="19" applyNumberFormat="1" applyFont="1" applyFill="1" applyAlignment="1" applyProtection="1">
      <alignment vertical="center"/>
    </xf>
    <xf numFmtId="182" fontId="143" fillId="0" borderId="0" xfId="19" applyNumberFormat="1" applyFont="1" applyFill="1" applyAlignment="1" applyProtection="1">
      <alignment vertical="center"/>
    </xf>
    <xf numFmtId="182" fontId="137" fillId="0" borderId="0" xfId="19" applyNumberFormat="1" applyFill="1" applyAlignment="1" applyProtection="1">
      <alignment vertical="center"/>
    </xf>
    <xf numFmtId="181" fontId="137" fillId="0" borderId="0" xfId="19" applyNumberFormat="1" applyFill="1" applyAlignment="1">
      <alignment vertical="center"/>
    </xf>
    <xf numFmtId="181" fontId="137" fillId="0" borderId="0" xfId="19" applyNumberFormat="1" applyFill="1" applyAlignment="1">
      <alignment horizontal="center" vertical="center"/>
    </xf>
    <xf numFmtId="37" fontId="44" fillId="0" borderId="78" xfId="19" applyFont="1" applyFill="1" applyBorder="1" applyAlignment="1">
      <alignment horizontal="center" vertical="center"/>
    </xf>
    <xf numFmtId="37" fontId="137" fillId="0" borderId="78" xfId="19" applyFill="1" applyBorder="1" applyAlignment="1">
      <alignment vertical="center"/>
    </xf>
    <xf numFmtId="182" fontId="137" fillId="0" borderId="78" xfId="19" applyNumberFormat="1" applyFill="1" applyBorder="1" applyAlignment="1" applyProtection="1">
      <alignment vertical="center"/>
    </xf>
    <xf numFmtId="37" fontId="137" fillId="0" borderId="78" xfId="19" applyFill="1" applyBorder="1" applyAlignment="1">
      <alignment horizontal="center" vertical="center"/>
    </xf>
    <xf numFmtId="181" fontId="137" fillId="0" borderId="78" xfId="19" applyNumberFormat="1" applyFill="1" applyBorder="1" applyAlignment="1">
      <alignment vertical="center"/>
    </xf>
    <xf numFmtId="181" fontId="137" fillId="0" borderId="78" xfId="19" applyNumberFormat="1" applyFill="1" applyBorder="1" applyAlignment="1">
      <alignment horizontal="center" vertical="center"/>
    </xf>
    <xf numFmtId="37" fontId="137" fillId="0" borderId="0" xfId="19" applyFill="1" applyAlignment="1" applyProtection="1">
      <alignment horizontal="left"/>
    </xf>
    <xf numFmtId="37" fontId="137" fillId="0" borderId="0" xfId="19" applyFill="1" applyAlignment="1" applyProtection="1">
      <alignment horizontal="center"/>
    </xf>
    <xf numFmtId="37" fontId="10" fillId="0" borderId="0" xfId="19" applyFont="1" applyFill="1" applyAlignment="1" applyProtection="1"/>
    <xf numFmtId="37" fontId="146" fillId="0" borderId="0" xfId="19" applyFont="1" applyFill="1" applyAlignment="1" applyProtection="1">
      <alignment horizontal="left"/>
    </xf>
    <xf numFmtId="169" fontId="10" fillId="0" borderId="0" xfId="19" applyNumberFormat="1" applyFont="1" applyFill="1" applyAlignment="1" applyProtection="1">
      <alignment horizontal="left"/>
    </xf>
    <xf numFmtId="1" fontId="10" fillId="0" borderId="0" xfId="19" applyNumberFormat="1" applyFont="1" applyFill="1" applyAlignment="1" applyProtection="1">
      <alignment horizontal="left"/>
    </xf>
    <xf numFmtId="37" fontId="10" fillId="0" borderId="0" xfId="19" applyFont="1" applyFill="1" applyAlignment="1" applyProtection="1">
      <alignment horizontal="left"/>
    </xf>
    <xf numFmtId="169" fontId="137" fillId="0" borderId="0" xfId="19" applyNumberFormat="1" applyFill="1" applyAlignment="1" applyProtection="1">
      <alignment horizontal="left"/>
    </xf>
    <xf numFmtId="1" fontId="137" fillId="0" borderId="0" xfId="19" applyNumberFormat="1" applyFill="1" applyAlignment="1" applyProtection="1">
      <alignment horizontal="left"/>
    </xf>
    <xf numFmtId="37" fontId="137" fillId="0" borderId="0" xfId="19" applyFill="1" applyProtection="1">
      <protection locked="0"/>
    </xf>
    <xf numFmtId="169" fontId="137" fillId="0" borderId="0" xfId="19" applyNumberFormat="1" applyFill="1" applyProtection="1">
      <protection locked="0"/>
    </xf>
    <xf numFmtId="1" fontId="137" fillId="0" borderId="0" xfId="19" applyNumberFormat="1" applyFill="1" applyProtection="1">
      <protection locked="0"/>
    </xf>
    <xf numFmtId="37" fontId="137" fillId="0" borderId="0" xfId="19" applyFill="1" applyAlignment="1" applyProtection="1">
      <alignment horizontal="center"/>
      <protection locked="0"/>
    </xf>
    <xf numFmtId="37" fontId="12" fillId="0" borderId="0" xfId="19" applyFont="1" applyFill="1" applyAlignment="1">
      <alignment vertical="center"/>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37" fontId="144" fillId="0" borderId="0" xfId="19" applyFont="1" applyFill="1" applyAlignment="1">
      <alignment horizontal="left" vertical="center"/>
    </xf>
    <xf numFmtId="37" fontId="146" fillId="0" borderId="0" xfId="19" applyFont="1" applyFill="1" applyAlignment="1" applyProtection="1">
      <alignment horizontal="left" wrapText="1"/>
    </xf>
    <xf numFmtId="37" fontId="10" fillId="0" borderId="0" xfId="19" applyFont="1" applyFill="1" applyAlignment="1" applyProtection="1">
      <alignment horizontal="left" wrapText="1"/>
    </xf>
    <xf numFmtId="37" fontId="138" fillId="0" borderId="0" xfId="19" applyFont="1" applyFill="1" applyAlignment="1">
      <alignment horizontal="center" vertical="center"/>
    </xf>
    <xf numFmtId="0" fontId="139" fillId="0" borderId="0" xfId="19" applyNumberFormat="1" applyFont="1" applyFill="1" applyAlignment="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Border="1" applyAlignment="1" applyProtection="1">
      <alignment horizontal="left" vertical="top" wrapText="1"/>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54" fillId="0" borderId="0" xfId="3" applyFont="1" applyBorder="1" applyAlignment="1" applyProtection="1">
      <alignment vertical="top" wrapText="1"/>
    </xf>
    <xf numFmtId="0" fontId="9" fillId="0" borderId="0" xfId="3" applyAlignment="1">
      <alignmen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1">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1099705</xdr:colOff>
          <xdr:row>1</xdr:row>
          <xdr:rowOff>0</xdr:rowOff>
        </xdr:from>
        <xdr:to>
          <xdr:col>1</xdr:col>
          <xdr:colOff>2010641</xdr:colOff>
          <xdr:row>5</xdr:row>
          <xdr:rowOff>38100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3055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1341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82" t="s">
        <v>405</v>
      </c>
      <c r="J1" s="2083"/>
      <c r="K1" s="2083"/>
      <c r="L1" s="2083"/>
      <c r="M1" s="2083"/>
      <c r="N1" s="2083"/>
      <c r="O1" s="2083"/>
      <c r="P1" s="2083"/>
      <c r="Q1" s="2083"/>
      <c r="R1" s="2083"/>
      <c r="S1" s="2083"/>
    </row>
    <row r="2" spans="1:28" ht="12" customHeight="1" x14ac:dyDescent="0.2">
      <c r="A2" s="47" t="s">
        <v>1990</v>
      </c>
      <c r="D2" s="48"/>
      <c r="I2" s="2084" t="s">
        <v>979</v>
      </c>
      <c r="J2" s="2083"/>
      <c r="K2" s="2083"/>
      <c r="L2" s="2083"/>
      <c r="M2" s="2083"/>
      <c r="N2" s="2083"/>
      <c r="O2" s="2083"/>
      <c r="P2" s="2083"/>
      <c r="Q2" s="2083"/>
      <c r="R2" s="2083"/>
      <c r="S2" s="2083"/>
    </row>
    <row r="3" spans="1:28" ht="12" customHeight="1" x14ac:dyDescent="0.2">
      <c r="A3" s="155" t="s">
        <v>1942</v>
      </c>
      <c r="B3" s="156"/>
      <c r="C3" s="156"/>
      <c r="D3" s="157"/>
      <c r="I3" s="2084" t="s">
        <v>52</v>
      </c>
      <c r="J3" s="2083"/>
      <c r="K3" s="2083"/>
      <c r="L3" s="2083"/>
      <c r="M3" s="2083"/>
      <c r="N3" s="2083"/>
      <c r="O3" s="2083"/>
      <c r="P3" s="2083"/>
      <c r="Q3" s="2083"/>
      <c r="R3" s="2083"/>
      <c r="S3" s="2083"/>
    </row>
    <row r="4" spans="1:28" ht="12" customHeight="1" x14ac:dyDescent="0.2">
      <c r="A4" s="37"/>
      <c r="I4" s="2084" t="s">
        <v>524</v>
      </c>
      <c r="J4" s="2083"/>
      <c r="K4" s="2083"/>
      <c r="L4" s="2083"/>
      <c r="M4" s="2083"/>
      <c r="N4" s="2083"/>
      <c r="O4" s="2083"/>
      <c r="P4" s="2083"/>
      <c r="Q4" s="2083"/>
      <c r="R4" s="2083"/>
      <c r="S4" s="2083"/>
    </row>
    <row r="5" spans="1:28" ht="14.1" customHeight="1" x14ac:dyDescent="0.2">
      <c r="B5" s="104"/>
      <c r="C5" s="26" t="s">
        <v>910</v>
      </c>
      <c r="D5" s="84"/>
      <c r="E5" s="84"/>
      <c r="H5" s="38"/>
      <c r="I5" s="2092" t="s">
        <v>680</v>
      </c>
      <c r="J5" s="2091"/>
      <c r="K5" s="2091"/>
      <c r="L5" s="2091"/>
      <c r="M5" s="2091"/>
      <c r="N5" s="2091"/>
      <c r="O5" s="2091"/>
      <c r="P5" s="2091"/>
      <c r="Q5" s="2091"/>
      <c r="R5" s="2091"/>
      <c r="S5" s="2091"/>
    </row>
    <row r="6" spans="1:28" ht="14.1" customHeight="1" x14ac:dyDescent="0.2">
      <c r="B6" s="104" t="s">
        <v>2070</v>
      </c>
      <c r="C6" s="26" t="s">
        <v>911</v>
      </c>
      <c r="D6" s="84"/>
      <c r="E6" s="84"/>
      <c r="I6" s="2090" t="s">
        <v>883</v>
      </c>
      <c r="J6" s="2091"/>
      <c r="K6" s="2091"/>
      <c r="L6" s="2091"/>
      <c r="M6" s="2091"/>
      <c r="N6" s="2091"/>
      <c r="O6" s="2091"/>
      <c r="P6" s="2091"/>
      <c r="Q6" s="2091"/>
      <c r="R6" s="2091"/>
      <c r="S6" s="2091"/>
    </row>
    <row r="7" spans="1:28" ht="12.2" customHeight="1" x14ac:dyDescent="0.2">
      <c r="I7" s="2085">
        <v>43646</v>
      </c>
      <c r="J7" s="2086"/>
      <c r="K7" s="2086"/>
      <c r="L7" s="2086"/>
      <c r="M7" s="2086"/>
      <c r="N7" s="2086"/>
      <c r="O7" s="2086"/>
      <c r="P7" s="2086"/>
      <c r="Q7" s="2086"/>
      <c r="R7" s="2086"/>
      <c r="S7" s="208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87" t="s">
        <v>674</v>
      </c>
      <c r="J9" s="2088"/>
      <c r="K9" s="2088"/>
      <c r="L9" s="2088"/>
      <c r="M9" s="2088"/>
      <c r="N9" s="2088"/>
      <c r="O9" s="2088"/>
      <c r="P9" s="2088"/>
      <c r="Q9" s="2088"/>
      <c r="R9" s="2088"/>
      <c r="S9" s="2089"/>
      <c r="T9" s="2103" t="s">
        <v>533</v>
      </c>
      <c r="U9" s="2104"/>
      <c r="V9" s="2104"/>
      <c r="W9" s="2104"/>
      <c r="X9" s="2104"/>
      <c r="Y9" s="2104"/>
      <c r="Z9" s="2104"/>
      <c r="AA9" s="2105"/>
    </row>
    <row r="10" spans="1:28" ht="13.5" customHeight="1" x14ac:dyDescent="0.2">
      <c r="A10" s="2110" t="s">
        <v>675</v>
      </c>
      <c r="B10" s="2111"/>
      <c r="C10" s="2111"/>
      <c r="D10" s="2111"/>
      <c r="E10" s="2111"/>
      <c r="F10" s="2111"/>
      <c r="G10" s="2111"/>
      <c r="H10" s="2112"/>
      <c r="I10" s="29"/>
      <c r="J10" s="30"/>
      <c r="K10" s="28"/>
      <c r="R10" s="30"/>
      <c r="S10" s="30"/>
      <c r="T10" s="2106"/>
      <c r="U10" s="2091"/>
      <c r="V10" s="2091"/>
      <c r="W10" s="2091"/>
      <c r="X10" s="2091"/>
      <c r="Y10" s="2091"/>
      <c r="Z10" s="2091"/>
      <c r="AA10" s="2097"/>
    </row>
    <row r="11" spans="1:28" ht="14.25" customHeight="1" x14ac:dyDescent="0.2">
      <c r="A11" s="2113" t="s">
        <v>955</v>
      </c>
      <c r="B11" s="2114"/>
      <c r="C11" s="2114"/>
      <c r="D11" s="2114"/>
      <c r="E11" s="2114"/>
      <c r="F11" s="2114"/>
      <c r="G11" s="2114"/>
      <c r="H11" s="2115"/>
      <c r="I11" s="27"/>
      <c r="J11" s="74"/>
      <c r="K11" s="27"/>
      <c r="O11" s="148" t="s">
        <v>2067</v>
      </c>
      <c r="P11" s="100" t="s">
        <v>201</v>
      </c>
      <c r="Q11" s="30"/>
      <c r="R11" s="28"/>
      <c r="S11" s="27"/>
      <c r="T11" s="2107"/>
      <c r="U11" s="2108"/>
      <c r="V11" s="2108"/>
      <c r="W11" s="2108"/>
      <c r="X11" s="2108"/>
      <c r="Y11" s="2108"/>
      <c r="Z11" s="2108"/>
      <c r="AA11" s="210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117">
        <v>28037801060</v>
      </c>
      <c r="B13" s="2118"/>
      <c r="C13" s="2118"/>
      <c r="D13" s="2118"/>
      <c r="E13" s="2118"/>
      <c r="F13" s="2118"/>
      <c r="G13" s="2118"/>
      <c r="H13" s="2119"/>
      <c r="I13" s="31"/>
      <c r="J13" s="30"/>
      <c r="K13" s="28"/>
      <c r="L13" s="30"/>
      <c r="M13" s="30"/>
      <c r="N13" s="30"/>
      <c r="O13" s="30"/>
      <c r="P13" s="30"/>
      <c r="Q13" s="30"/>
      <c r="R13" s="30"/>
      <c r="S13" s="30"/>
      <c r="T13" s="2122" t="s">
        <v>2069</v>
      </c>
      <c r="U13" s="2123"/>
      <c r="V13" s="2123"/>
      <c r="W13" s="2123"/>
      <c r="X13" s="2123"/>
      <c r="Y13" s="2124"/>
      <c r="Z13" s="2124"/>
      <c r="AA13" s="212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116" t="s">
        <v>2072</v>
      </c>
      <c r="B15" s="2120"/>
      <c r="C15" s="2120"/>
      <c r="D15" s="2120"/>
      <c r="E15" s="2120"/>
      <c r="F15" s="2120"/>
      <c r="G15" s="2120"/>
      <c r="H15" s="2121"/>
      <c r="T15" s="2126" t="s">
        <v>2077</v>
      </c>
      <c r="U15" s="2070"/>
      <c r="V15" s="2070"/>
      <c r="W15" s="2070"/>
      <c r="X15" s="2070"/>
      <c r="Y15" s="2127"/>
      <c r="Z15" s="2127"/>
      <c r="AA15" s="212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76" t="s">
        <v>2172</v>
      </c>
      <c r="B17" s="2077"/>
      <c r="C17" s="2077"/>
      <c r="D17" s="2077"/>
      <c r="E17" s="2077"/>
      <c r="F17" s="2077"/>
      <c r="G17" s="2077"/>
      <c r="H17" s="2102"/>
      <c r="T17" s="2133" t="s">
        <v>2061</v>
      </c>
      <c r="U17" s="2134"/>
      <c r="V17" s="2134"/>
      <c r="W17" s="2134"/>
      <c r="X17" s="2134"/>
      <c r="Y17" s="2134"/>
      <c r="Z17" s="2134"/>
      <c r="AA17" s="2135"/>
    </row>
    <row r="18" spans="1:27" ht="13.5" customHeight="1" x14ac:dyDescent="0.2">
      <c r="A18" s="85" t="s">
        <v>530</v>
      </c>
      <c r="B18" s="76"/>
      <c r="C18" s="72"/>
      <c r="D18" s="76"/>
      <c r="E18" s="76"/>
      <c r="F18" s="76"/>
      <c r="G18" s="76"/>
      <c r="H18" s="56"/>
      <c r="I18" s="2101" t="s">
        <v>676</v>
      </c>
      <c r="J18" s="2052"/>
      <c r="K18" s="2052"/>
      <c r="L18" s="2052"/>
      <c r="M18" s="2052"/>
      <c r="N18" s="2052"/>
      <c r="O18" s="2052"/>
      <c r="P18" s="2052"/>
      <c r="Q18" s="2052"/>
      <c r="R18" s="2052"/>
      <c r="S18" s="2053"/>
      <c r="T18" s="85" t="s">
        <v>711</v>
      </c>
      <c r="U18" s="51"/>
      <c r="V18" s="72"/>
      <c r="W18" s="50"/>
      <c r="X18" s="85" t="s">
        <v>266</v>
      </c>
      <c r="Y18" s="81"/>
      <c r="Z18" s="159" t="s">
        <v>677</v>
      </c>
      <c r="AA18" s="46"/>
    </row>
    <row r="19" spans="1:27" ht="13.5" customHeight="1" x14ac:dyDescent="0.2">
      <c r="A19" s="2116" t="s">
        <v>2074</v>
      </c>
      <c r="B19" s="2062"/>
      <c r="C19" s="2062"/>
      <c r="D19" s="2062"/>
      <c r="E19" s="2062"/>
      <c r="F19" s="2062"/>
      <c r="G19" s="2062"/>
      <c r="H19" s="2042"/>
      <c r="I19" s="30"/>
      <c r="J19" s="99"/>
      <c r="K19" s="40"/>
      <c r="L19" s="38"/>
      <c r="M19" s="112" t="s">
        <v>315</v>
      </c>
      <c r="P19" s="27"/>
      <c r="Q19" s="27"/>
      <c r="R19" s="27"/>
      <c r="S19" s="31"/>
      <c r="T19" s="2116" t="s">
        <v>2062</v>
      </c>
      <c r="U19" s="2041"/>
      <c r="V19" s="2041"/>
      <c r="W19" s="2042"/>
      <c r="X19" s="2131" t="s">
        <v>2063</v>
      </c>
      <c r="Y19" s="2132"/>
      <c r="Z19" s="2129">
        <v>61614</v>
      </c>
      <c r="AA19" s="213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40" t="s">
        <v>2075</v>
      </c>
      <c r="B21" s="2041"/>
      <c r="C21" s="2041"/>
      <c r="D21" s="2041"/>
      <c r="E21" s="2041"/>
      <c r="F21" s="2041"/>
      <c r="G21" s="2041"/>
      <c r="H21" s="2042"/>
      <c r="I21" s="2096" t="s">
        <v>678</v>
      </c>
      <c r="J21" s="2091"/>
      <c r="K21" s="2091"/>
      <c r="L21" s="2091"/>
      <c r="M21" s="2091"/>
      <c r="N21" s="2091"/>
      <c r="O21" s="2091"/>
      <c r="P21" s="2091"/>
      <c r="Q21" s="2091"/>
      <c r="R21" s="2091"/>
      <c r="S21" s="2097"/>
      <c r="T21" s="2140" t="s">
        <v>2064</v>
      </c>
      <c r="U21" s="2141"/>
      <c r="V21" s="2141"/>
      <c r="W21" s="2141"/>
      <c r="X21" s="2146" t="s">
        <v>2065</v>
      </c>
      <c r="Y21" s="2147"/>
      <c r="Z21" s="2147"/>
      <c r="AA21" s="2148"/>
    </row>
    <row r="22" spans="1:27" ht="13.5" customHeight="1" x14ac:dyDescent="0.2">
      <c r="A22" s="87" t="s">
        <v>531</v>
      </c>
      <c r="B22" s="59"/>
      <c r="C22" s="59"/>
      <c r="D22" s="59"/>
      <c r="E22" s="59"/>
      <c r="F22" s="59"/>
      <c r="G22" s="59"/>
      <c r="H22" s="60"/>
      <c r="I22" s="2098" t="s">
        <v>1429</v>
      </c>
      <c r="J22" s="2099"/>
      <c r="K22" s="2099"/>
      <c r="L22" s="2099"/>
      <c r="M22" s="2099"/>
      <c r="N22" s="2099"/>
      <c r="O22" s="2099"/>
      <c r="P22" s="2099"/>
      <c r="Q22" s="2099"/>
      <c r="R22" s="2099"/>
      <c r="S22" s="2100"/>
      <c r="T22" s="85" t="s">
        <v>1516</v>
      </c>
      <c r="U22" s="51"/>
      <c r="V22" s="72"/>
      <c r="W22" s="51"/>
      <c r="X22" s="160" t="s">
        <v>1318</v>
      </c>
      <c r="Z22" s="45"/>
      <c r="AA22" s="46"/>
    </row>
    <row r="23" spans="1:27" ht="13.5" customHeight="1" x14ac:dyDescent="0.2">
      <c r="A23" s="2093" t="s">
        <v>2076</v>
      </c>
      <c r="B23" s="2094"/>
      <c r="C23" s="2094"/>
      <c r="D23" s="2094"/>
      <c r="E23" s="2094"/>
      <c r="F23" s="2094"/>
      <c r="G23" s="2094"/>
      <c r="H23" s="2095"/>
      <c r="T23" s="2076" t="s">
        <v>2066</v>
      </c>
      <c r="U23" s="2139"/>
      <c r="V23" s="2139"/>
      <c r="W23" s="2139"/>
      <c r="X23" s="2143">
        <v>44501</v>
      </c>
      <c r="Y23" s="2144"/>
      <c r="Z23" s="2144"/>
      <c r="AA23" s="2145"/>
    </row>
    <row r="24" spans="1:27" ht="14.1" customHeight="1" x14ac:dyDescent="0.2">
      <c r="A24" s="88" t="s">
        <v>677</v>
      </c>
      <c r="B24" s="49"/>
      <c r="C24" s="49"/>
      <c r="D24" s="49"/>
      <c r="E24" s="49"/>
      <c r="F24" s="49"/>
      <c r="G24" s="49"/>
      <c r="H24" s="61"/>
      <c r="J24" s="2063" t="str">
        <f>IF(B5="x",IF(AUDITCHECK!D29="AFR form Incomplete.","",IF(AUDITCHECK!D29="Deficit reduction plan is required.","School District must complete a deficit reduction plan in the 2019-2020 Budget",)),"")</f>
        <v/>
      </c>
      <c r="K24" s="2063"/>
      <c r="L24" s="2063"/>
      <c r="M24" s="2063"/>
      <c r="N24" s="2063"/>
      <c r="O24" s="2063"/>
      <c r="P24" s="2063"/>
      <c r="Q24" s="2063"/>
      <c r="R24" s="2063"/>
      <c r="S24" s="2064"/>
      <c r="T24" s="105" t="s">
        <v>531</v>
      </c>
      <c r="U24" s="106"/>
      <c r="V24" s="106"/>
      <c r="W24" s="106"/>
      <c r="X24" s="107"/>
      <c r="Y24" s="107"/>
      <c r="Z24" s="107"/>
      <c r="AA24" s="108"/>
    </row>
    <row r="25" spans="1:27" ht="14.1" customHeight="1" x14ac:dyDescent="0.2">
      <c r="A25" s="2040">
        <v>61443</v>
      </c>
      <c r="B25" s="2041"/>
      <c r="C25" s="2041"/>
      <c r="D25" s="2041"/>
      <c r="E25" s="2041"/>
      <c r="F25" s="2041"/>
      <c r="G25" s="2041"/>
      <c r="H25" s="2042"/>
      <c r="I25" s="113"/>
      <c r="J25" s="2065"/>
      <c r="K25" s="2065"/>
      <c r="L25" s="2065"/>
      <c r="M25" s="2065"/>
      <c r="N25" s="2065"/>
      <c r="O25" s="2065"/>
      <c r="P25" s="2065"/>
      <c r="Q25" s="2065"/>
      <c r="R25" s="2065"/>
      <c r="S25" s="2066"/>
      <c r="T25" s="2136" t="s">
        <v>2078</v>
      </c>
      <c r="U25" s="2137"/>
      <c r="V25" s="2137"/>
      <c r="W25" s="2137"/>
      <c r="X25" s="2137"/>
      <c r="Y25" s="2137"/>
      <c r="Z25" s="2137"/>
      <c r="AA25" s="213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51" t="s">
        <v>1511</v>
      </c>
      <c r="J27" s="2052"/>
      <c r="K27" s="2052"/>
      <c r="L27" s="2052"/>
      <c r="M27" s="2052"/>
      <c r="N27" s="2052"/>
      <c r="O27" s="2052"/>
      <c r="P27" s="2052"/>
      <c r="Q27" s="2052"/>
      <c r="R27" s="2052"/>
      <c r="S27" s="205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2067</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2067</v>
      </c>
      <c r="C30" s="124" t="s">
        <v>1164</v>
      </c>
      <c r="D30" s="28"/>
      <c r="E30" s="28"/>
      <c r="F30" s="140"/>
      <c r="G30" s="114"/>
      <c r="H30" s="114"/>
      <c r="I30" s="54"/>
      <c r="J30" s="148" t="s">
        <v>2067</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c r="K31" s="40" t="s">
        <v>885</v>
      </c>
      <c r="L31" s="148" t="s">
        <v>2067</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62"/>
      <c r="Q35" s="2041"/>
      <c r="R35" s="204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76" t="s">
        <v>2079</v>
      </c>
      <c r="B38" s="2077"/>
      <c r="C38" s="2077"/>
      <c r="D38" s="2077"/>
      <c r="E38" s="2077"/>
      <c r="F38" s="2041"/>
      <c r="G38" s="2041"/>
      <c r="H38" s="2042"/>
      <c r="I38" s="2069"/>
      <c r="J38" s="2070"/>
      <c r="K38" s="2070"/>
      <c r="L38" s="2070"/>
      <c r="M38" s="2070"/>
      <c r="N38" s="2070"/>
      <c r="O38" s="2070"/>
      <c r="P38" s="2071"/>
      <c r="Q38" s="2071"/>
      <c r="R38" s="2071"/>
      <c r="S38" s="2072"/>
      <c r="T38" s="2126"/>
      <c r="U38" s="2070"/>
      <c r="V38" s="2070"/>
      <c r="W38" s="2070"/>
      <c r="X38" s="2071"/>
      <c r="Y38" s="2071"/>
      <c r="Z38" s="2071"/>
      <c r="AA38" s="2072"/>
    </row>
    <row r="39" spans="1:27" ht="12" customHeight="1" x14ac:dyDescent="0.2">
      <c r="A39" s="2046" t="s">
        <v>531</v>
      </c>
      <c r="B39" s="2047"/>
      <c r="C39" s="72"/>
      <c r="D39" s="69"/>
      <c r="E39" s="69"/>
      <c r="F39" s="79"/>
      <c r="G39" s="69"/>
      <c r="H39" s="56"/>
      <c r="I39" s="2046" t="s">
        <v>531</v>
      </c>
      <c r="J39" s="2047"/>
      <c r="K39" s="2047"/>
      <c r="L39" s="2047"/>
      <c r="M39" s="2047"/>
      <c r="N39" s="67"/>
      <c r="O39" s="72"/>
      <c r="P39" s="72"/>
      <c r="Q39" s="78"/>
      <c r="R39" s="72"/>
      <c r="S39" s="56"/>
      <c r="T39" s="72" t="s">
        <v>531</v>
      </c>
      <c r="U39" s="51"/>
      <c r="V39" s="72"/>
      <c r="W39" s="50"/>
      <c r="X39" s="78"/>
      <c r="Y39" s="45"/>
      <c r="Z39" s="45"/>
      <c r="AA39" s="46"/>
    </row>
    <row r="40" spans="1:27" ht="13.5" customHeight="1" x14ac:dyDescent="0.2">
      <c r="A40" s="2054" t="s">
        <v>2076</v>
      </c>
      <c r="B40" s="2055"/>
      <c r="C40" s="2056"/>
      <c r="D40" s="2056"/>
      <c r="E40" s="2056"/>
      <c r="F40" s="2057"/>
      <c r="G40" s="2057"/>
      <c r="H40" s="2058"/>
      <c r="I40" s="2079"/>
      <c r="J40" s="2080"/>
      <c r="K40" s="2080"/>
      <c r="L40" s="2080"/>
      <c r="M40" s="2080"/>
      <c r="N40" s="2080"/>
      <c r="O40" s="2080"/>
      <c r="P40" s="2080"/>
      <c r="Q40" s="2080"/>
      <c r="R40" s="2080"/>
      <c r="S40" s="2081"/>
      <c r="T40" s="2079"/>
      <c r="U40" s="2142"/>
      <c r="V40" s="2080"/>
      <c r="W40" s="2080"/>
      <c r="X40" s="2080"/>
      <c r="Y40" s="2080"/>
      <c r="Z40" s="2080"/>
      <c r="AA40" s="208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68" t="s">
        <v>2080</v>
      </c>
      <c r="B42" s="2060"/>
      <c r="C42" s="2061"/>
      <c r="D42" s="2059" t="s">
        <v>2081</v>
      </c>
      <c r="E42" s="2060"/>
      <c r="F42" s="2060"/>
      <c r="G42" s="2060"/>
      <c r="H42" s="2061"/>
      <c r="I42" s="2043"/>
      <c r="J42" s="2044"/>
      <c r="K42" s="2044"/>
      <c r="L42" s="2044"/>
      <c r="M42" s="2044"/>
      <c r="N42" s="2044"/>
      <c r="O42" s="2045"/>
      <c r="P42" s="2078"/>
      <c r="Q42" s="2044"/>
      <c r="R42" s="2044"/>
      <c r="S42" s="2045"/>
      <c r="T42" s="2043"/>
      <c r="U42" s="2044"/>
      <c r="V42" s="2044"/>
      <c r="W42" s="2045"/>
      <c r="X42" s="2078"/>
      <c r="Y42" s="2044"/>
      <c r="Z42" s="2044"/>
      <c r="AA42" s="20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73"/>
      <c r="B44" s="2074"/>
      <c r="C44" s="2074"/>
      <c r="D44" s="2074"/>
      <c r="E44" s="2074"/>
      <c r="F44" s="2074"/>
      <c r="G44" s="2074"/>
      <c r="H44" s="2075"/>
      <c r="I44" s="2048"/>
      <c r="J44" s="2049"/>
      <c r="K44" s="2049"/>
      <c r="L44" s="2049"/>
      <c r="M44" s="2049"/>
      <c r="N44" s="2049"/>
      <c r="O44" s="2049"/>
      <c r="P44" s="2049"/>
      <c r="Q44" s="2049"/>
      <c r="R44" s="2049"/>
      <c r="S44" s="2050"/>
      <c r="T44" s="2048"/>
      <c r="U44" s="2067"/>
      <c r="V44" s="2067"/>
      <c r="W44" s="2067"/>
      <c r="X44" s="2067"/>
      <c r="Y44" s="2067"/>
      <c r="Z44" s="2049"/>
      <c r="AA44" s="205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3" t="s">
        <v>1611</v>
      </c>
    </row>
    <row r="23" spans="1:5" x14ac:dyDescent="0.2">
      <c r="A23" s="168"/>
      <c r="B23" s="162" t="s">
        <v>1854</v>
      </c>
      <c r="D23" s="167" t="s">
        <v>637</v>
      </c>
      <c r="E23" s="1833"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52" t="s">
        <v>1065</v>
      </c>
      <c r="B35" s="2152"/>
      <c r="C35" s="2152"/>
      <c r="D35" s="2152"/>
      <c r="E35" s="21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49" t="s">
        <v>691</v>
      </c>
      <c r="B40" s="2149"/>
      <c r="C40" s="2149"/>
      <c r="D40" s="2149"/>
      <c r="E40" s="2149"/>
    </row>
    <row r="41" spans="1:5" x14ac:dyDescent="0.2">
      <c r="A41" s="2150" t="s">
        <v>1608</v>
      </c>
      <c r="B41" s="2150"/>
      <c r="C41" s="2150"/>
      <c r="D41" s="2150"/>
      <c r="E41" s="2150"/>
    </row>
    <row r="42" spans="1:5" ht="12.75" customHeight="1" x14ac:dyDescent="0.2">
      <c r="A42" s="2151" t="s">
        <v>1022</v>
      </c>
      <c r="B42" s="2151"/>
      <c r="C42" s="2151"/>
      <c r="D42" s="2151"/>
      <c r="E42" s="2151"/>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2" t="s">
        <v>1773</v>
      </c>
    </row>
    <row r="60" spans="1:3" x14ac:dyDescent="0.2">
      <c r="A60" s="196"/>
      <c r="B60" s="1482"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4"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3"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53" t="s">
        <v>1168</v>
      </c>
      <c r="B2" s="2153"/>
      <c r="C2" s="2153"/>
      <c r="D2" s="2153"/>
      <c r="E2" s="2153"/>
      <c r="F2" s="2153"/>
      <c r="G2" s="2153"/>
      <c r="H2" s="2153"/>
      <c r="I2" s="2153"/>
      <c r="J2" s="21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67" t="s">
        <v>1633</v>
      </c>
      <c r="B35" s="2168"/>
      <c r="C35" s="2168"/>
      <c r="D35" s="2168"/>
      <c r="E35" s="2169"/>
      <c r="F35" s="2169"/>
      <c r="G35" s="2169"/>
      <c r="H35" s="2169"/>
      <c r="I35" s="21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67" t="s">
        <v>313</v>
      </c>
      <c r="B47" s="2170"/>
      <c r="C47" s="2170"/>
      <c r="D47" s="2170"/>
      <c r="E47" s="2171"/>
      <c r="F47" s="2171"/>
      <c r="G47" s="2171"/>
      <c r="H47" s="2171"/>
      <c r="I47" s="21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74"/>
      <c r="C57" s="2175"/>
      <c r="D57" s="2175"/>
      <c r="E57" s="2175"/>
      <c r="F57" s="2175"/>
      <c r="G57" s="2175"/>
      <c r="H57" s="2175"/>
      <c r="I57" s="2175"/>
      <c r="J57" s="2176"/>
    </row>
    <row r="58" spans="1:10" s="181" customFormat="1" x14ac:dyDescent="0.2">
      <c r="A58" s="253"/>
      <c r="B58" s="2177"/>
      <c r="C58" s="2178"/>
      <c r="D58" s="2178"/>
      <c r="E58" s="2178"/>
      <c r="F58" s="2178"/>
      <c r="G58" s="2178"/>
      <c r="H58" s="2178"/>
      <c r="I58" s="2178"/>
      <c r="J58" s="2179"/>
    </row>
    <row r="59" spans="1:10" s="181" customFormat="1" x14ac:dyDescent="0.2">
      <c r="A59" s="253"/>
      <c r="B59" s="2177"/>
      <c r="C59" s="2178"/>
      <c r="D59" s="2178"/>
      <c r="E59" s="2178"/>
      <c r="F59" s="2178"/>
      <c r="G59" s="2178"/>
      <c r="H59" s="2178"/>
      <c r="I59" s="2178"/>
      <c r="J59" s="2179"/>
    </row>
    <row r="60" spans="1:10" s="181" customFormat="1" x14ac:dyDescent="0.2">
      <c r="A60" s="253"/>
      <c r="B60" s="2177"/>
      <c r="C60" s="2178"/>
      <c r="D60" s="2178"/>
      <c r="E60" s="2178"/>
      <c r="F60" s="2178"/>
      <c r="G60" s="2178"/>
      <c r="H60" s="2178"/>
      <c r="I60" s="2178"/>
      <c r="J60" s="2179"/>
    </row>
    <row r="61" spans="1:10" s="181" customFormat="1" x14ac:dyDescent="0.2">
      <c r="A61" s="253"/>
      <c r="B61" s="2177"/>
      <c r="C61" s="2178"/>
      <c r="D61" s="2178"/>
      <c r="E61" s="2178"/>
      <c r="F61" s="2178"/>
      <c r="G61" s="2178"/>
      <c r="H61" s="2178"/>
      <c r="I61" s="2178"/>
      <c r="J61" s="2179"/>
    </row>
    <row r="62" spans="1:10" s="181" customFormat="1" x14ac:dyDescent="0.2">
      <c r="A62" s="253"/>
      <c r="B62" s="2177"/>
      <c r="C62" s="2178"/>
      <c r="D62" s="2178"/>
      <c r="E62" s="2178"/>
      <c r="F62" s="2178"/>
      <c r="G62" s="2178"/>
      <c r="H62" s="2178"/>
      <c r="I62" s="2178"/>
      <c r="J62" s="2179"/>
    </row>
    <row r="63" spans="1:10" s="181" customFormat="1" x14ac:dyDescent="0.2">
      <c r="A63" s="253"/>
      <c r="B63" s="2177"/>
      <c r="C63" s="2178"/>
      <c r="D63" s="2178"/>
      <c r="E63" s="2178"/>
      <c r="F63" s="2178"/>
      <c r="G63" s="2178"/>
      <c r="H63" s="2178"/>
      <c r="I63" s="2178"/>
      <c r="J63" s="2179"/>
    </row>
    <row r="64" spans="1:10" s="181" customFormat="1" x14ac:dyDescent="0.2">
      <c r="A64" s="253"/>
      <c r="B64" s="2177"/>
      <c r="C64" s="2178"/>
      <c r="D64" s="2178"/>
      <c r="E64" s="2178"/>
      <c r="F64" s="2178"/>
      <c r="G64" s="2178"/>
      <c r="H64" s="2178"/>
      <c r="I64" s="2178"/>
      <c r="J64" s="2179"/>
    </row>
    <row r="65" spans="1:10" s="181" customFormat="1" x14ac:dyDescent="0.2">
      <c r="A65" s="253"/>
      <c r="B65" s="2177"/>
      <c r="C65" s="2178"/>
      <c r="D65" s="2178"/>
      <c r="E65" s="2178"/>
      <c r="F65" s="2178"/>
      <c r="G65" s="2178"/>
      <c r="H65" s="2178"/>
      <c r="I65" s="2178"/>
      <c r="J65" s="2179"/>
    </row>
    <row r="66" spans="1:10" s="181" customFormat="1" x14ac:dyDescent="0.2">
      <c r="A66" s="253"/>
      <c r="B66" s="2177"/>
      <c r="C66" s="2178"/>
      <c r="D66" s="2178"/>
      <c r="E66" s="2178"/>
      <c r="F66" s="2178"/>
      <c r="G66" s="2178"/>
      <c r="H66" s="2178"/>
      <c r="I66" s="2178"/>
      <c r="J66" s="2179"/>
    </row>
    <row r="67" spans="1:10" s="181" customFormat="1" ht="9" customHeight="1" x14ac:dyDescent="0.2">
      <c r="A67" s="254"/>
      <c r="B67" s="2180"/>
      <c r="C67" s="2181"/>
      <c r="D67" s="2181"/>
      <c r="E67" s="2181"/>
      <c r="F67" s="2181"/>
      <c r="G67" s="2181"/>
      <c r="H67" s="2181"/>
      <c r="I67" s="2181"/>
      <c r="J67" s="21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67" t="s">
        <v>1323</v>
      </c>
      <c r="B70" s="2170"/>
      <c r="C70" s="2170"/>
      <c r="D70" s="2170"/>
      <c r="E70" s="2171"/>
      <c r="F70" s="2171"/>
      <c r="G70" s="2171"/>
      <c r="H70" s="2171"/>
      <c r="I70" s="21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72" t="s">
        <v>1320</v>
      </c>
      <c r="B83" s="2172"/>
      <c r="C83" s="2172"/>
      <c r="D83" s="21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54"/>
      <c r="C102" s="2155"/>
      <c r="D102" s="2155"/>
      <c r="E102" s="2155"/>
      <c r="F102" s="2155"/>
      <c r="G102" s="2155"/>
      <c r="H102" s="2155"/>
      <c r="I102" s="2156"/>
    </row>
    <row r="103" spans="1:9" s="181" customFormat="1" ht="11.25" customHeight="1" x14ac:dyDescent="0.2">
      <c r="A103" s="316"/>
      <c r="B103" s="2157"/>
      <c r="C103" s="2158"/>
      <c r="D103" s="2158"/>
      <c r="E103" s="2158"/>
      <c r="F103" s="2158"/>
      <c r="G103" s="2158"/>
      <c r="H103" s="2158"/>
      <c r="I103" s="2159"/>
    </row>
    <row r="104" spans="1:9" s="181" customFormat="1" ht="11.25" customHeight="1" x14ac:dyDescent="0.2">
      <c r="A104" s="316"/>
      <c r="B104" s="2157"/>
      <c r="C104" s="2158"/>
      <c r="D104" s="2158"/>
      <c r="E104" s="2158"/>
      <c r="F104" s="2158"/>
      <c r="G104" s="2158"/>
      <c r="H104" s="2158"/>
      <c r="I104" s="2159"/>
    </row>
    <row r="105" spans="1:9" s="181" customFormat="1" x14ac:dyDescent="0.2">
      <c r="A105" s="316"/>
      <c r="B105" s="2157"/>
      <c r="C105" s="2158"/>
      <c r="D105" s="2158"/>
      <c r="E105" s="2158"/>
      <c r="F105" s="2158"/>
      <c r="G105" s="2158"/>
      <c r="H105" s="2158"/>
      <c r="I105" s="2159"/>
    </row>
    <row r="106" spans="1:9" s="181" customFormat="1" ht="11.25" customHeight="1" x14ac:dyDescent="0.2">
      <c r="A106" s="316"/>
      <c r="B106" s="2157"/>
      <c r="C106" s="2158"/>
      <c r="D106" s="2158"/>
      <c r="E106" s="2158"/>
      <c r="F106" s="2158"/>
      <c r="G106" s="2158"/>
      <c r="H106" s="2158"/>
      <c r="I106" s="2159"/>
    </row>
    <row r="107" spans="1:9" s="181" customFormat="1" ht="11.25" customHeight="1" x14ac:dyDescent="0.2">
      <c r="A107" s="316"/>
      <c r="B107" s="2157"/>
      <c r="C107" s="2158"/>
      <c r="D107" s="2158"/>
      <c r="E107" s="2158"/>
      <c r="F107" s="2158"/>
      <c r="G107" s="2158"/>
      <c r="H107" s="2158"/>
      <c r="I107" s="2159"/>
    </row>
    <row r="108" spans="1:9" s="181" customFormat="1" ht="11.25" customHeight="1" x14ac:dyDescent="0.2">
      <c r="A108" s="316"/>
      <c r="B108" s="2157"/>
      <c r="C108" s="2158"/>
      <c r="D108" s="2158"/>
      <c r="E108" s="2158"/>
      <c r="F108" s="2158"/>
      <c r="G108" s="2158"/>
      <c r="H108" s="2158"/>
      <c r="I108" s="2159"/>
    </row>
    <row r="109" spans="1:9" s="181" customFormat="1" ht="11.25" customHeight="1" x14ac:dyDescent="0.2">
      <c r="A109" s="316"/>
      <c r="B109" s="2157"/>
      <c r="C109" s="2158"/>
      <c r="D109" s="2158"/>
      <c r="E109" s="2158"/>
      <c r="F109" s="2158"/>
      <c r="G109" s="2158"/>
      <c r="H109" s="2158"/>
      <c r="I109" s="2159"/>
    </row>
    <row r="110" spans="1:9" s="181" customFormat="1" ht="11.25" customHeight="1" x14ac:dyDescent="0.2">
      <c r="A110" s="316"/>
      <c r="B110" s="2157"/>
      <c r="C110" s="2158"/>
      <c r="D110" s="2158"/>
      <c r="E110" s="2158"/>
      <c r="F110" s="2158"/>
      <c r="G110" s="2158"/>
      <c r="H110" s="2158"/>
      <c r="I110" s="2159"/>
    </row>
    <row r="111" spans="1:9" s="181" customFormat="1" ht="11.25" customHeight="1" x14ac:dyDescent="0.2">
      <c r="A111" s="316"/>
      <c r="B111" s="2157"/>
      <c r="C111" s="2158"/>
      <c r="D111" s="2158"/>
      <c r="E111" s="2158"/>
      <c r="F111" s="2158"/>
      <c r="G111" s="2158"/>
      <c r="H111" s="2158"/>
      <c r="I111" s="2159"/>
    </row>
    <row r="112" spans="1:9" s="181" customFormat="1" ht="11.25" customHeight="1" x14ac:dyDescent="0.2">
      <c r="A112" s="316"/>
      <c r="B112" s="2160"/>
      <c r="C112" s="2161"/>
      <c r="D112" s="2161"/>
      <c r="E112" s="2161"/>
      <c r="F112" s="2161"/>
      <c r="G112" s="2161"/>
      <c r="H112" s="2161"/>
      <c r="I112" s="21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63" t="s">
        <v>2170</v>
      </c>
      <c r="D114" s="21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64" t="s">
        <v>1330</v>
      </c>
      <c r="D117" s="2165"/>
      <c r="E117" s="2166"/>
      <c r="F117" s="2166"/>
      <c r="G117" s="2166"/>
      <c r="H117" s="2166"/>
      <c r="I117" s="304"/>
    </row>
    <row r="118" spans="1:9" s="181" customFormat="1" ht="24" customHeight="1" x14ac:dyDescent="0.2">
      <c r="A118" s="316"/>
      <c r="B118" s="316"/>
      <c r="C118" s="316"/>
      <c r="D118" s="323" t="s">
        <v>2171</v>
      </c>
      <c r="E118" s="322"/>
      <c r="F118" s="324"/>
      <c r="G118" s="1837"/>
      <c r="H118" s="322"/>
      <c r="I118" s="304"/>
    </row>
    <row r="119" spans="1:9" s="181" customFormat="1" ht="11.25" customHeight="1" x14ac:dyDescent="0.2">
      <c r="A119" s="325"/>
      <c r="B119" s="325"/>
      <c r="C119" s="326"/>
      <c r="D119" s="327" t="s">
        <v>361</v>
      </c>
      <c r="E119" s="310"/>
      <c r="F119" s="1836" t="s">
        <v>1903</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83" t="s">
        <v>386</v>
      </c>
      <c r="B1" s="2183"/>
      <c r="C1" s="2183"/>
      <c r="D1" s="2183"/>
      <c r="E1" s="2183"/>
      <c r="F1" s="2183"/>
      <c r="G1" s="2183"/>
      <c r="H1" s="2183"/>
      <c r="I1" s="2183"/>
      <c r="J1" s="2183"/>
      <c r="K1" s="2183"/>
      <c r="L1" s="2183"/>
      <c r="M1" s="21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29">
        <f>ROUND(D10+F10+H10,5)</f>
        <v>0</v>
      </c>
      <c r="K10" s="222"/>
      <c r="L10" s="355"/>
      <c r="M10" s="222"/>
    </row>
    <row r="11" spans="1:14" ht="7.5" customHeight="1" x14ac:dyDescent="0.2">
      <c r="B11" s="222"/>
      <c r="C11" s="222"/>
      <c r="D11" s="2193" t="str">
        <f>IF(SUM(J10)&lt;=0.0999999,"","Enter the Tax Rates by moving the decimal two places to the left.")</f>
        <v/>
      </c>
      <c r="E11" s="2194"/>
      <c r="F11" s="2194"/>
      <c r="G11" s="2194"/>
      <c r="H11" s="2194"/>
      <c r="I11" s="2194"/>
      <c r="J11" s="21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7356709</v>
      </c>
      <c r="E16" s="356"/>
      <c r="F16" s="1730">
        <f>SUM('Acct Summary 7-8'!C17,'Acct Summary 7-8'!D17,'Acct Summary 7-8'!F17)</f>
        <v>8301769</v>
      </c>
      <c r="G16" s="356"/>
      <c r="H16" s="1730">
        <f>SUM(D16-F16)</f>
        <v>-945060</v>
      </c>
      <c r="I16" s="222"/>
      <c r="J16" s="1730">
        <f>SUM('Acct Summary 7-8'!C81,'Acct Summary 7-8'!D81,'Acct Summary 7-8'!F81,'Acct Summary 7-8'!I81)</f>
        <v>56036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84"/>
      <c r="C54" s="2185"/>
      <c r="D54" s="2185"/>
      <c r="E54" s="2185"/>
      <c r="F54" s="2185"/>
      <c r="G54" s="2185"/>
      <c r="H54" s="2185"/>
      <c r="I54" s="2185"/>
      <c r="J54" s="2185"/>
      <c r="K54" s="2185"/>
      <c r="L54" s="2186"/>
      <c r="M54" s="380"/>
    </row>
    <row r="55" spans="1:13" ht="12.75" customHeight="1" x14ac:dyDescent="0.2">
      <c r="B55" s="2187"/>
      <c r="C55" s="2188"/>
      <c r="D55" s="2188"/>
      <c r="E55" s="2188"/>
      <c r="F55" s="2188"/>
      <c r="G55" s="2188"/>
      <c r="H55" s="2188"/>
      <c r="I55" s="2188"/>
      <c r="J55" s="2188"/>
      <c r="K55" s="2188"/>
      <c r="L55" s="2189"/>
      <c r="M55" s="380"/>
    </row>
    <row r="56" spans="1:13" ht="12.75" customHeight="1" x14ac:dyDescent="0.2">
      <c r="B56" s="2187"/>
      <c r="C56" s="2188"/>
      <c r="D56" s="2188"/>
      <c r="E56" s="2188"/>
      <c r="F56" s="2188"/>
      <c r="G56" s="2188"/>
      <c r="H56" s="2188"/>
      <c r="I56" s="2188"/>
      <c r="J56" s="2188"/>
      <c r="K56" s="2188"/>
      <c r="L56" s="2189"/>
      <c r="M56" s="222"/>
    </row>
    <row r="57" spans="1:13" ht="12.75" customHeight="1" x14ac:dyDescent="0.2">
      <c r="B57" s="2187"/>
      <c r="C57" s="2188"/>
      <c r="D57" s="2188"/>
      <c r="E57" s="2188"/>
      <c r="F57" s="2188"/>
      <c r="G57" s="2188"/>
      <c r="H57" s="2188"/>
      <c r="I57" s="2188"/>
      <c r="J57" s="2188"/>
      <c r="K57" s="2188"/>
      <c r="L57" s="2189"/>
      <c r="M57" s="222"/>
    </row>
    <row r="58" spans="1:13" x14ac:dyDescent="0.2">
      <c r="B58" s="2190"/>
      <c r="C58" s="2191"/>
      <c r="D58" s="2191"/>
      <c r="E58" s="2191"/>
      <c r="F58" s="2191"/>
      <c r="G58" s="2191"/>
      <c r="H58" s="2191"/>
      <c r="I58" s="2191"/>
      <c r="J58" s="2191"/>
      <c r="K58" s="2191"/>
      <c r="L58" s="21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95"/>
      <c r="D61" s="21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98"/>
      <c r="B1" s="2199"/>
      <c r="C1" s="2199"/>
      <c r="D1" s="384"/>
      <c r="E1" s="384"/>
      <c r="F1" s="384"/>
      <c r="G1" s="384"/>
      <c r="H1" s="384"/>
      <c r="I1" s="384"/>
      <c r="J1" s="384"/>
      <c r="K1" s="384"/>
      <c r="L1" s="384"/>
      <c r="M1" s="384"/>
      <c r="N1" s="384"/>
      <c r="O1" s="2198"/>
      <c r="P1" s="2199"/>
      <c r="Q1" s="2199"/>
    </row>
    <row r="2" spans="1:18" ht="15" x14ac:dyDescent="0.2">
      <c r="A2" s="2202" t="s">
        <v>556</v>
      </c>
      <c r="B2" s="2202"/>
      <c r="C2" s="2202"/>
      <c r="D2" s="2202"/>
      <c r="E2" s="2202"/>
      <c r="F2" s="2202"/>
      <c r="G2" s="2202"/>
      <c r="H2" s="2202"/>
      <c r="I2" s="2202"/>
      <c r="J2" s="2202"/>
      <c r="K2" s="2202"/>
      <c r="L2" s="2202"/>
      <c r="M2" s="2202"/>
      <c r="N2" s="2202"/>
      <c r="O2" s="2202"/>
      <c r="P2" s="2202"/>
      <c r="Q2" s="2202"/>
      <c r="R2" s="2202"/>
    </row>
    <row r="3" spans="1:18" ht="12.75" x14ac:dyDescent="0.2">
      <c r="A3" s="2203" t="s">
        <v>1413</v>
      </c>
      <c r="B3" s="2203"/>
      <c r="C3" s="2203"/>
      <c r="D3" s="2203"/>
      <c r="E3" s="2203"/>
      <c r="F3" s="2203"/>
      <c r="G3" s="2203"/>
      <c r="H3" s="2203"/>
      <c r="I3" s="2203"/>
      <c r="J3" s="2203"/>
      <c r="K3" s="2203"/>
      <c r="L3" s="2203"/>
      <c r="M3" s="2203"/>
      <c r="N3" s="2203"/>
      <c r="O3" s="2203"/>
      <c r="P3" s="2203"/>
      <c r="Q3" s="2203"/>
      <c r="R3" s="2203"/>
    </row>
    <row r="4" spans="1:18" x14ac:dyDescent="0.2">
      <c r="A4" s="2204" t="s">
        <v>1554</v>
      </c>
      <c r="B4" s="2204"/>
      <c r="C4" s="2204"/>
      <c r="D4" s="2204"/>
      <c r="E4" s="2204"/>
      <c r="F4" s="2204"/>
      <c r="G4" s="2204"/>
      <c r="H4" s="2204"/>
      <c r="I4" s="2204"/>
      <c r="J4" s="2204"/>
      <c r="K4" s="2204"/>
      <c r="L4" s="2204"/>
      <c r="M4" s="2204"/>
      <c r="N4" s="2204"/>
      <c r="O4" s="2204"/>
      <c r="P4" s="2204"/>
      <c r="Q4" s="2204"/>
      <c r="R4" s="22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Henry Stark County Spec Ed Dist</v>
      </c>
      <c r="E7" s="391"/>
      <c r="G7" s="252"/>
      <c r="H7" s="387"/>
      <c r="I7" s="387"/>
      <c r="J7" s="387"/>
      <c r="K7" s="387"/>
      <c r="L7" s="329"/>
      <c r="M7" s="329"/>
      <c r="N7" s="329"/>
      <c r="O7" s="329"/>
      <c r="P7" s="329"/>
    </row>
    <row r="8" spans="1:18" ht="12.75" x14ac:dyDescent="0.2">
      <c r="A8" s="329"/>
      <c r="B8" s="329"/>
      <c r="C8" s="389" t="s">
        <v>1125</v>
      </c>
      <c r="D8" s="392">
        <f>COVER!A13</f>
        <v>28037801060</v>
      </c>
      <c r="E8" s="393"/>
      <c r="G8" s="329"/>
      <c r="H8" s="329"/>
      <c r="I8" s="329"/>
      <c r="J8" s="329"/>
      <c r="K8" s="329"/>
      <c r="L8" s="329"/>
      <c r="M8" s="329"/>
      <c r="N8" s="329"/>
      <c r="O8" s="329"/>
      <c r="P8" s="329"/>
    </row>
    <row r="9" spans="1:18" ht="12.75" x14ac:dyDescent="0.2">
      <c r="A9" s="329"/>
      <c r="B9" s="329"/>
      <c r="C9" s="389" t="s">
        <v>713</v>
      </c>
      <c r="D9" s="394" t="str">
        <f>COVER!A15</f>
        <v>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2</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56036</v>
      </c>
      <c r="I12" s="404"/>
      <c r="J12" s="404"/>
      <c r="K12" s="405">
        <f>TRUNC((H12/H13*100000),5)/100000</f>
        <v>7.6169928000000007E-3</v>
      </c>
      <c r="L12" s="406"/>
      <c r="M12" s="360" t="s">
        <v>1144</v>
      </c>
      <c r="N12" s="360"/>
      <c r="O12" s="407">
        <v>0.35</v>
      </c>
      <c r="P12" s="218"/>
      <c r="Q12" s="218"/>
    </row>
    <row r="13" spans="1:18" s="408" customFormat="1" ht="12.75" x14ac:dyDescent="0.2">
      <c r="A13" s="218"/>
      <c r="B13" s="401"/>
      <c r="C13" s="2200" t="s">
        <v>1324</v>
      </c>
      <c r="D13" s="2201"/>
      <c r="E13" s="218"/>
      <c r="F13" s="409" t="s">
        <v>793</v>
      </c>
      <c r="G13" s="402"/>
      <c r="H13" s="403">
        <f>SUM('Acct Summary 7-8'!C8+'Acct Summary 7-8'!D8+'Acct Summary 7-8'!F8+'Acct Summary 7-8'!I8)+H14</f>
        <v>7356709</v>
      </c>
      <c r="I13" s="404"/>
      <c r="J13" s="404"/>
      <c r="K13" s="410"/>
      <c r="L13" s="218"/>
      <c r="M13" s="360" t="s">
        <v>1145</v>
      </c>
      <c r="N13" s="360"/>
      <c r="O13" s="411">
        <f>(O11*O12)</f>
        <v>0.7</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8301769</v>
      </c>
      <c r="I17" s="404"/>
      <c r="J17" s="416"/>
      <c r="K17" s="405">
        <f>TRUNC((H17/H18*100000),5)/100000</f>
        <v>1.1284623328000001</v>
      </c>
      <c r="L17" s="406"/>
      <c r="M17" s="417" t="s">
        <v>1171</v>
      </c>
      <c r="O17" s="418" t="str">
        <f>IF(AND(O16="2", J20 &gt; 2),"1",IF(AND(O16 = "1", J20 &gt; 2),"2",IF(AND(O16="1", J20 &gt;1),"1","0")))</f>
        <v>0</v>
      </c>
      <c r="P17" s="218"/>
    </row>
    <row r="18" spans="1:18" s="408" customFormat="1" ht="11.25" x14ac:dyDescent="0.2">
      <c r="A18" s="218"/>
      <c r="B18" s="401"/>
      <c r="C18" s="2200" t="s">
        <v>1317</v>
      </c>
      <c r="D18" s="2201"/>
      <c r="E18" s="218"/>
      <c r="F18" s="419" t="s">
        <v>794</v>
      </c>
      <c r="G18" s="402"/>
      <c r="H18" s="403">
        <f>SUM('Acct Summary 7-8'!C8+'Acct Summary 7-8'!D8+'Acct Summary 7-8'!F8+'Acct Summary 7-8'!I8)+H19</f>
        <v>7356709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-0.71914469999999997</v>
      </c>
      <c r="K20" s="405" t="str">
        <f>IF(K17&lt;=1,"0",IF(AND(O16="2", J20 &gt; 2),TRUNC(((K12-0.1)/(K17-1)*100),5)/100,IF(AND(O16 = "1", J20 &gt; 2),TRUNC(((K12-0.1)/(K17-1)*100),5)/100,IF(AND(O16="1", J20 &gt;1),TRUNC(((K12-0.1)/(K17-1)*100),5)/100,""))))</f>
        <v/>
      </c>
      <c r="L20" s="218"/>
      <c r="M20" s="360" t="s">
        <v>1145</v>
      </c>
      <c r="N20" s="360"/>
      <c r="O20" s="411">
        <f>(O16+O17)*O18</f>
        <v>0.7</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f>IF(K24&gt;=180,"4",IF(K24&gt;=90,"3",IF(K24&gt;=30,"2",1)))</f>
        <v>1</v>
      </c>
      <c r="P23" s="216"/>
      <c r="R23" s="384"/>
    </row>
    <row r="24" spans="1:18" s="408" customFormat="1" ht="11.25" x14ac:dyDescent="0.2">
      <c r="A24" s="218"/>
      <c r="B24" s="401"/>
      <c r="C24" s="2197" t="s">
        <v>1412</v>
      </c>
      <c r="D24" s="2197"/>
      <c r="E24" s="218"/>
      <c r="F24" s="218" t="s">
        <v>445</v>
      </c>
      <c r="G24" s="402"/>
      <c r="H24" s="403">
        <f>SUM('Assets-Liab 5-6'!C4+'Assets-Liab 5-6'!D4+'Assets-Liab 5-6'!F4+'Assets-Liab 5-6'!I4+'Assets-Liab 5-6'!C5+'Assets-Liab 5-6'!D5+'Assets-Liab 5-6'!F5+'Assets-Liab 5-6'!I5)</f>
        <v>41576</v>
      </c>
      <c r="I24" s="422"/>
      <c r="J24" s="422"/>
      <c r="K24" s="423">
        <f>TRUNC(((H24/H25*100000)/100000),2)</f>
        <v>1.8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23060.469440000001</v>
      </c>
      <c r="I25" s="425"/>
      <c r="J25" s="425"/>
      <c r="K25" s="410"/>
      <c r="L25" s="218"/>
      <c r="M25" s="360" t="s">
        <v>1145</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L31" sqref="L31"/>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2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2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207" t="s">
        <v>973</v>
      </c>
      <c r="B3" s="2208"/>
      <c r="C3" s="1556"/>
      <c r="D3" s="1557"/>
      <c r="E3" s="1557"/>
      <c r="F3" s="1557"/>
      <c r="G3" s="1557"/>
      <c r="H3" s="1557"/>
      <c r="I3" s="1557"/>
      <c r="J3" s="1557"/>
      <c r="K3" s="1557"/>
      <c r="L3" s="1557"/>
      <c r="M3" s="1558"/>
      <c r="N3" s="1559"/>
    </row>
    <row r="4" spans="1:14" ht="13.5" customHeight="1" x14ac:dyDescent="0.2">
      <c r="A4" s="463" t="s">
        <v>1651</v>
      </c>
      <c r="B4" s="464"/>
      <c r="C4" s="465">
        <v>41576</v>
      </c>
      <c r="D4" s="465">
        <v>0</v>
      </c>
      <c r="E4" s="465">
        <v>0</v>
      </c>
      <c r="F4" s="465">
        <v>0</v>
      </c>
      <c r="G4" s="465">
        <v>0</v>
      </c>
      <c r="H4" s="465">
        <v>0</v>
      </c>
      <c r="I4" s="465">
        <v>0</v>
      </c>
      <c r="J4" s="465">
        <v>96137</v>
      </c>
      <c r="K4" s="465">
        <v>0</v>
      </c>
      <c r="L4" s="465">
        <v>39950</v>
      </c>
      <c r="M4" s="468"/>
      <c r="N4" s="469"/>
    </row>
    <row r="5" spans="1:14" x14ac:dyDescent="0.2">
      <c r="A5" s="463" t="s">
        <v>992</v>
      </c>
      <c r="B5" s="470">
        <v>120</v>
      </c>
      <c r="C5" s="465">
        <v>0</v>
      </c>
      <c r="D5" s="465">
        <v>0</v>
      </c>
      <c r="E5" s="465">
        <v>0</v>
      </c>
      <c r="F5" s="465">
        <v>0</v>
      </c>
      <c r="G5" s="465">
        <v>0</v>
      </c>
      <c r="H5" s="465">
        <v>0</v>
      </c>
      <c r="I5" s="465">
        <v>0</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14460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56036</v>
      </c>
      <c r="D13" s="1734">
        <f t="shared" ref="D13:L13" si="0">SUM(D4:D12)</f>
        <v>0</v>
      </c>
      <c r="E13" s="1734">
        <f t="shared" si="0"/>
        <v>0</v>
      </c>
      <c r="F13" s="1734">
        <f t="shared" si="0"/>
        <v>0</v>
      </c>
      <c r="G13" s="1734">
        <f t="shared" si="0"/>
        <v>0</v>
      </c>
      <c r="H13" s="1734">
        <f t="shared" si="0"/>
        <v>0</v>
      </c>
      <c r="I13" s="1734">
        <f t="shared" si="0"/>
        <v>0</v>
      </c>
      <c r="J13" s="1734">
        <f t="shared" si="0"/>
        <v>96137</v>
      </c>
      <c r="K13" s="1734">
        <f t="shared" si="0"/>
        <v>0</v>
      </c>
      <c r="L13" s="1734">
        <f t="shared" si="0"/>
        <v>39950</v>
      </c>
      <c r="M13" s="468"/>
      <c r="N13" s="469"/>
    </row>
    <row r="14" spans="1:14" ht="18" customHeight="1" thickTop="1" x14ac:dyDescent="0.2">
      <c r="A14" s="2209" t="s">
        <v>147</v>
      </c>
      <c r="B14" s="2210"/>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0</v>
      </c>
      <c r="N16" s="482"/>
    </row>
    <row r="17" spans="1:14" s="483" customFormat="1" ht="12.75" customHeight="1" x14ac:dyDescent="0.2">
      <c r="A17" s="480" t="s">
        <v>1403</v>
      </c>
      <c r="B17" s="481">
        <v>230</v>
      </c>
      <c r="C17" s="475"/>
      <c r="D17" s="475"/>
      <c r="E17" s="475"/>
      <c r="F17" s="475"/>
      <c r="G17" s="475"/>
      <c r="H17" s="475"/>
      <c r="I17" s="475"/>
      <c r="J17" s="475"/>
      <c r="K17" s="475"/>
      <c r="L17" s="475"/>
      <c r="M17" s="465">
        <v>515570</v>
      </c>
      <c r="N17" s="482"/>
    </row>
    <row r="18" spans="1:14" s="483" customFormat="1" ht="12.75" customHeight="1" x14ac:dyDescent="0.2">
      <c r="A18" s="480" t="s">
        <v>1404</v>
      </c>
      <c r="B18" s="481">
        <v>240</v>
      </c>
      <c r="C18" s="475"/>
      <c r="D18" s="475"/>
      <c r="E18" s="475"/>
      <c r="F18" s="475"/>
      <c r="G18" s="475"/>
      <c r="H18" s="475"/>
      <c r="I18" s="475"/>
      <c r="J18" s="475"/>
      <c r="K18" s="475"/>
      <c r="L18" s="475"/>
      <c r="M18" s="465">
        <v>0</v>
      </c>
      <c r="N18" s="482"/>
    </row>
    <row r="19" spans="1:14" s="483" customFormat="1" ht="12.75" customHeight="1" x14ac:dyDescent="0.2">
      <c r="A19" s="480" t="s">
        <v>1405</v>
      </c>
      <c r="B19" s="481">
        <v>250</v>
      </c>
      <c r="C19" s="475"/>
      <c r="D19" s="475"/>
      <c r="E19" s="475"/>
      <c r="F19" s="475"/>
      <c r="G19" s="475"/>
      <c r="H19" s="475"/>
      <c r="I19" s="475"/>
      <c r="J19" s="475"/>
      <c r="K19" s="475"/>
      <c r="L19" s="475"/>
      <c r="M19" s="465">
        <v>60666</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0</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0</v>
      </c>
    </row>
    <row r="23" spans="1:14" ht="13.5" customHeight="1" thickBot="1" x14ac:dyDescent="0.25">
      <c r="A23" s="1733" t="s">
        <v>643</v>
      </c>
      <c r="B23" s="1738"/>
      <c r="C23" s="468"/>
      <c r="D23" s="468"/>
      <c r="E23" s="468"/>
      <c r="F23" s="468"/>
      <c r="G23" s="468"/>
      <c r="H23" s="468"/>
      <c r="I23" s="468"/>
      <c r="J23" s="468"/>
      <c r="K23" s="468"/>
      <c r="L23" s="468"/>
      <c r="M23" s="1685">
        <f>SUM(M15:M22)</f>
        <v>576236</v>
      </c>
      <c r="N23" s="1685">
        <f>SUM(N21:N22)</f>
        <v>0</v>
      </c>
    </row>
    <row r="24" spans="1:14" ht="18" customHeight="1" thickTop="1" x14ac:dyDescent="0.2">
      <c r="A24" s="2211" t="s">
        <v>598</v>
      </c>
      <c r="B24" s="2212"/>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7208</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7208</v>
      </c>
      <c r="M34" s="468"/>
      <c r="N34" s="478"/>
    </row>
    <row r="35" spans="1:14" ht="18" customHeight="1" thickTop="1" x14ac:dyDescent="0.2">
      <c r="A35" s="2213" t="s">
        <v>529</v>
      </c>
      <c r="B35" s="2214"/>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0</v>
      </c>
    </row>
    <row r="37" spans="1:14" ht="13.5" thickBot="1" x14ac:dyDescent="0.25">
      <c r="A37" s="1733" t="s">
        <v>653</v>
      </c>
      <c r="B37" s="1738"/>
      <c r="C37" s="475"/>
      <c r="D37" s="475"/>
      <c r="E37" s="475"/>
      <c r="F37" s="475"/>
      <c r="G37" s="475"/>
      <c r="H37" s="475"/>
      <c r="I37" s="475"/>
      <c r="J37" s="475"/>
      <c r="K37" s="475"/>
      <c r="L37" s="478"/>
      <c r="M37" s="468"/>
      <c r="N37" s="1685">
        <f>SUM(N36:N36)</f>
        <v>0</v>
      </c>
    </row>
    <row r="38" spans="1:14" s="329" customFormat="1" ht="13.5" customHeight="1" thickTop="1" x14ac:dyDescent="0.2">
      <c r="A38" s="493" t="s">
        <v>420</v>
      </c>
      <c r="B38" s="481">
        <v>714</v>
      </c>
      <c r="C38" s="465">
        <v>16563</v>
      </c>
      <c r="D38" s="465">
        <v>0</v>
      </c>
      <c r="E38" s="465">
        <v>0</v>
      </c>
      <c r="F38" s="465">
        <v>0</v>
      </c>
      <c r="G38" s="465">
        <v>0</v>
      </c>
      <c r="H38" s="465">
        <v>0</v>
      </c>
      <c r="I38" s="465">
        <v>0</v>
      </c>
      <c r="J38" s="465">
        <v>0</v>
      </c>
      <c r="K38" s="465">
        <v>0</v>
      </c>
      <c r="L38" s="465">
        <v>32742</v>
      </c>
      <c r="M38" s="494"/>
      <c r="N38" s="494"/>
    </row>
    <row r="39" spans="1:14" s="329" customFormat="1" ht="13.5" customHeight="1" x14ac:dyDescent="0.2">
      <c r="A39" s="493" t="s">
        <v>342</v>
      </c>
      <c r="B39" s="481">
        <v>730</v>
      </c>
      <c r="C39" s="465">
        <v>39473</v>
      </c>
      <c r="D39" s="465">
        <v>0</v>
      </c>
      <c r="E39" s="465">
        <v>0</v>
      </c>
      <c r="F39" s="465">
        <v>0</v>
      </c>
      <c r="G39" s="465">
        <v>0</v>
      </c>
      <c r="H39" s="465">
        <v>0</v>
      </c>
      <c r="I39" s="465">
        <v>0</v>
      </c>
      <c r="J39" s="465">
        <v>96137</v>
      </c>
      <c r="K39" s="465">
        <v>0</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576236</v>
      </c>
      <c r="N40" s="494"/>
    </row>
    <row r="41" spans="1:14" ht="13.5" customHeight="1" thickBot="1" x14ac:dyDescent="0.25">
      <c r="A41" s="1733" t="s">
        <v>655</v>
      </c>
      <c r="B41" s="1703"/>
      <c r="C41" s="1685">
        <f>(SUM(C34,C37,C38,C39))</f>
        <v>56036</v>
      </c>
      <c r="D41" s="1685">
        <f t="shared" ref="D41:L41" si="2">SUM(D34,D37,D38:D39)</f>
        <v>0</v>
      </c>
      <c r="E41" s="1685">
        <f t="shared" si="2"/>
        <v>0</v>
      </c>
      <c r="F41" s="1685">
        <f t="shared" si="2"/>
        <v>0</v>
      </c>
      <c r="G41" s="1685">
        <f t="shared" si="2"/>
        <v>0</v>
      </c>
      <c r="H41" s="1685">
        <f t="shared" si="2"/>
        <v>0</v>
      </c>
      <c r="I41" s="1685">
        <f t="shared" si="2"/>
        <v>0</v>
      </c>
      <c r="J41" s="1685">
        <f t="shared" si="2"/>
        <v>96137</v>
      </c>
      <c r="K41" s="1685">
        <f t="shared" si="2"/>
        <v>0</v>
      </c>
      <c r="L41" s="1685">
        <f t="shared" si="2"/>
        <v>39950</v>
      </c>
      <c r="M41" s="1685">
        <f>SUM(M40)</f>
        <v>576236</v>
      </c>
      <c r="N41" s="1685">
        <f>SUM(N37)</f>
        <v>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L31" sqref="L31"/>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223"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224"/>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235" t="s">
        <v>1175</v>
      </c>
      <c r="B3" s="2236"/>
      <c r="C3" s="1570"/>
      <c r="D3" s="1571"/>
      <c r="E3" s="1571"/>
      <c r="F3" s="1571"/>
      <c r="G3" s="1571"/>
      <c r="H3" s="1571"/>
      <c r="I3" s="1571"/>
      <c r="J3" s="1571"/>
      <c r="K3" s="1572"/>
      <c r="L3" s="503"/>
    </row>
    <row r="4" spans="1:13" ht="15.75" customHeight="1" x14ac:dyDescent="0.2">
      <c r="A4" s="1923" t="s">
        <v>1499</v>
      </c>
      <c r="B4" s="1924">
        <v>1000</v>
      </c>
      <c r="C4" s="1739">
        <f>'Revenues 9-14'!C109</f>
        <v>4556106</v>
      </c>
      <c r="D4" s="1739">
        <f>'Revenues 9-14'!D109</f>
        <v>0</v>
      </c>
      <c r="E4" s="1739">
        <f>'Revenues 9-14'!E109</f>
        <v>0</v>
      </c>
      <c r="F4" s="1739">
        <f>'Revenues 9-14'!F109</f>
        <v>0</v>
      </c>
      <c r="G4" s="1739">
        <f>'Revenues 9-14'!G109</f>
        <v>0</v>
      </c>
      <c r="H4" s="1739">
        <f>'Revenues 9-14'!H109</f>
        <v>0</v>
      </c>
      <c r="I4" s="1739">
        <f>'Revenues 9-14'!I109</f>
        <v>0</v>
      </c>
      <c r="J4" s="1739">
        <f>'Revenues 9-14'!J109</f>
        <v>58730</v>
      </c>
      <c r="K4" s="1739">
        <f>'Revenues 9-14'!K109</f>
        <v>0</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928339</v>
      </c>
      <c r="D6" s="1740">
        <f>'Revenues 9-14'!D170</f>
        <v>0</v>
      </c>
      <c r="E6" s="1740">
        <f>'Revenues 9-14'!E170</f>
        <v>0</v>
      </c>
      <c r="F6" s="1740">
        <f>'Revenues 9-14'!F170</f>
        <v>0</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1872264</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7356709</v>
      </c>
      <c r="D8" s="1685">
        <f t="shared" ref="D8:K8" si="0">SUM(D4:D7)</f>
        <v>0</v>
      </c>
      <c r="E8" s="1685">
        <f t="shared" si="0"/>
        <v>0</v>
      </c>
      <c r="F8" s="1685">
        <f t="shared" si="0"/>
        <v>0</v>
      </c>
      <c r="G8" s="1685">
        <f t="shared" si="0"/>
        <v>0</v>
      </c>
      <c r="H8" s="1685">
        <f t="shared" si="0"/>
        <v>0</v>
      </c>
      <c r="I8" s="1685">
        <f t="shared" si="0"/>
        <v>0</v>
      </c>
      <c r="J8" s="1685">
        <f t="shared" si="0"/>
        <v>58730</v>
      </c>
      <c r="K8" s="1685">
        <f t="shared" si="0"/>
        <v>0</v>
      </c>
      <c r="L8" s="347"/>
    </row>
    <row r="9" spans="1:13" ht="15.75" thickTop="1" x14ac:dyDescent="0.2">
      <c r="A9" s="511" t="s">
        <v>1653</v>
      </c>
      <c r="B9" s="512">
        <v>3998</v>
      </c>
      <c r="C9" s="465">
        <v>3079878</v>
      </c>
      <c r="D9" s="513"/>
      <c r="E9" s="479"/>
      <c r="F9" s="479"/>
      <c r="G9" s="514"/>
      <c r="H9" s="479"/>
      <c r="I9" s="506" t="s">
        <v>1169</v>
      </c>
      <c r="J9" s="476"/>
      <c r="K9" s="479"/>
      <c r="L9" s="347"/>
    </row>
    <row r="10" spans="1:13" s="516" customFormat="1" ht="13.5" thickBot="1" x14ac:dyDescent="0.25">
      <c r="A10" s="1733" t="s">
        <v>1173</v>
      </c>
      <c r="B10" s="1706"/>
      <c r="C10" s="1685">
        <f>SUM(C8:C9)</f>
        <v>10436587</v>
      </c>
      <c r="D10" s="1685">
        <f t="shared" ref="D10:K10" si="1">SUM(D8:D9)</f>
        <v>0</v>
      </c>
      <c r="E10" s="1685">
        <f t="shared" si="1"/>
        <v>0</v>
      </c>
      <c r="F10" s="1685">
        <f t="shared" si="1"/>
        <v>0</v>
      </c>
      <c r="G10" s="1685">
        <f t="shared" si="1"/>
        <v>0</v>
      </c>
      <c r="H10" s="1685">
        <f t="shared" si="1"/>
        <v>0</v>
      </c>
      <c r="I10" s="1685">
        <f t="shared" si="1"/>
        <v>0</v>
      </c>
      <c r="J10" s="1685">
        <f t="shared" si="1"/>
        <v>58730</v>
      </c>
      <c r="K10" s="1685">
        <f t="shared" si="1"/>
        <v>0</v>
      </c>
      <c r="L10" s="515"/>
    </row>
    <row r="11" spans="1:13" s="516" customFormat="1" ht="16.7" customHeight="1" thickTop="1" x14ac:dyDescent="0.2">
      <c r="A11" s="2209" t="s">
        <v>1176</v>
      </c>
      <c r="B11" s="2210"/>
      <c r="C11" s="1567"/>
      <c r="D11" s="1568"/>
      <c r="E11" s="1568"/>
      <c r="F11" s="1568"/>
      <c r="G11" s="1568"/>
      <c r="H11" s="1568"/>
      <c r="I11" s="1568"/>
      <c r="J11" s="1568"/>
      <c r="K11" s="1569"/>
      <c r="L11" s="515"/>
    </row>
    <row r="12" spans="1:13" ht="15.75" customHeight="1" x14ac:dyDescent="0.2">
      <c r="A12" s="1573" t="s">
        <v>456</v>
      </c>
      <c r="B12" s="1575">
        <v>1000</v>
      </c>
      <c r="C12" s="1739">
        <f>'Expenditures 15-22'!K33</f>
        <v>4340773</v>
      </c>
      <c r="D12" s="517" t="s">
        <v>1169</v>
      </c>
      <c r="E12" s="468" t="s">
        <v>1169</v>
      </c>
      <c r="F12" s="468" t="s">
        <v>1169</v>
      </c>
      <c r="G12" s="1739">
        <f>'Expenditures 15-22'!K229</f>
        <v>0</v>
      </c>
      <c r="H12" s="518"/>
      <c r="I12" s="468" t="s">
        <v>1169</v>
      </c>
      <c r="J12" s="468" t="s">
        <v>1169</v>
      </c>
      <c r="K12" s="518" t="s">
        <v>1169</v>
      </c>
      <c r="L12" s="347"/>
    </row>
    <row r="13" spans="1:13" ht="15.75" customHeight="1" x14ac:dyDescent="0.2">
      <c r="A13" s="1573" t="s">
        <v>457</v>
      </c>
      <c r="B13" s="1575">
        <v>2000</v>
      </c>
      <c r="C13" s="1740">
        <f>'Expenditures 15-22'!K74</f>
        <v>3921739</v>
      </c>
      <c r="D13" s="1740">
        <f>'Expenditures 15-22'!K129</f>
        <v>0</v>
      </c>
      <c r="E13" s="469" t="s">
        <v>1169</v>
      </c>
      <c r="F13" s="1740">
        <f>'Expenditures 15-22'!K184</f>
        <v>0</v>
      </c>
      <c r="G13" s="1740">
        <f>'Expenditures 15-22'!K279</f>
        <v>0</v>
      </c>
      <c r="H13" s="1740">
        <f>'Expenditures 15-22'!K303</f>
        <v>0</v>
      </c>
      <c r="I13" s="468" t="s">
        <v>1169</v>
      </c>
      <c r="J13" s="1740">
        <f>'Expenditures 15-22'!K330</f>
        <v>62473</v>
      </c>
      <c r="K13" s="1744">
        <f>'Expenditures 15-22'!K352</f>
        <v>0</v>
      </c>
      <c r="L13" s="347"/>
    </row>
    <row r="14" spans="1:13" ht="15.75" customHeight="1" x14ac:dyDescent="0.2">
      <c r="A14" s="1573" t="s">
        <v>449</v>
      </c>
      <c r="B14" s="1575">
        <v>3000</v>
      </c>
      <c r="C14" s="1740">
        <f>'Expenditures 15-22'!K75</f>
        <v>39257</v>
      </c>
      <c r="D14" s="1740">
        <f>'Expenditures 15-22'!K130</f>
        <v>0</v>
      </c>
      <c r="E14" s="517" t="s">
        <v>1169</v>
      </c>
      <c r="F14" s="1740">
        <f>'Expenditures 15-22'!K185</f>
        <v>0</v>
      </c>
      <c r="G14" s="1740">
        <f>'Expenditures 15-22'!K280</f>
        <v>0</v>
      </c>
      <c r="H14" s="509"/>
      <c r="I14" s="468" t="s">
        <v>1169</v>
      </c>
      <c r="J14" s="468" t="s">
        <v>1169</v>
      </c>
      <c r="K14" s="509" t="s">
        <v>1169</v>
      </c>
      <c r="L14" s="347"/>
    </row>
    <row r="15" spans="1:13" ht="15.75" customHeight="1" x14ac:dyDescent="0.2">
      <c r="A15" s="1573" t="s">
        <v>107</v>
      </c>
      <c r="B15" s="1575">
        <v>4000</v>
      </c>
      <c r="C15" s="1740">
        <f>'Expenditures 15-22'!K102</f>
        <v>0</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0</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8301769</v>
      </c>
      <c r="D17" s="1685">
        <f t="shared" si="2"/>
        <v>0</v>
      </c>
      <c r="E17" s="1685">
        <f t="shared" si="2"/>
        <v>0</v>
      </c>
      <c r="F17" s="1685">
        <f t="shared" si="2"/>
        <v>0</v>
      </c>
      <c r="G17" s="1685">
        <f t="shared" si="2"/>
        <v>0</v>
      </c>
      <c r="H17" s="1685">
        <f t="shared" si="2"/>
        <v>0</v>
      </c>
      <c r="I17" s="468"/>
      <c r="J17" s="1685">
        <f>SUM(J12:J16)</f>
        <v>62473</v>
      </c>
      <c r="K17" s="1685">
        <f>SUM(K12:K16)</f>
        <v>0</v>
      </c>
      <c r="L17" s="347"/>
    </row>
    <row r="18" spans="1:12" ht="15" customHeight="1" thickTop="1" x14ac:dyDescent="0.2">
      <c r="A18" s="1741" t="s">
        <v>1654</v>
      </c>
      <c r="B18" s="1742">
        <v>4180</v>
      </c>
      <c r="C18" s="1739">
        <f t="shared" ref="C18:H18" si="3">C9</f>
        <v>3079878</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11381647</v>
      </c>
      <c r="D19" s="1685">
        <f t="shared" si="4"/>
        <v>0</v>
      </c>
      <c r="E19" s="1685">
        <f t="shared" si="4"/>
        <v>0</v>
      </c>
      <c r="F19" s="1685">
        <f t="shared" si="4"/>
        <v>0</v>
      </c>
      <c r="G19" s="1685">
        <f t="shared" si="4"/>
        <v>0</v>
      </c>
      <c r="H19" s="1685">
        <f t="shared" si="4"/>
        <v>0</v>
      </c>
      <c r="I19" s="468"/>
      <c r="J19" s="1685">
        <f>SUM(J17:J18)</f>
        <v>62473</v>
      </c>
      <c r="K19" s="1685">
        <f>SUM(K17:K18)</f>
        <v>0</v>
      </c>
      <c r="L19" s="347"/>
    </row>
    <row r="20" spans="1:12" ht="16.5" thickTop="1" thickBot="1" x14ac:dyDescent="0.25">
      <c r="A20" s="2225" t="s">
        <v>1655</v>
      </c>
      <c r="B20" s="2226"/>
      <c r="C20" s="1743">
        <f>C8-C17</f>
        <v>-945060</v>
      </c>
      <c r="D20" s="1743">
        <f t="shared" ref="D20:K20" si="5">D8-D17</f>
        <v>0</v>
      </c>
      <c r="E20" s="1743">
        <f t="shared" si="5"/>
        <v>0</v>
      </c>
      <c r="F20" s="1743">
        <f t="shared" si="5"/>
        <v>0</v>
      </c>
      <c r="G20" s="1743">
        <f t="shared" si="5"/>
        <v>0</v>
      </c>
      <c r="H20" s="1743">
        <f t="shared" si="5"/>
        <v>0</v>
      </c>
      <c r="I20" s="1743">
        <f t="shared" si="5"/>
        <v>0</v>
      </c>
      <c r="J20" s="1743">
        <f t="shared" si="5"/>
        <v>-3743</v>
      </c>
      <c r="K20" s="1743">
        <f t="shared" si="5"/>
        <v>0</v>
      </c>
      <c r="L20" s="347"/>
    </row>
    <row r="21" spans="1:12" ht="16.7" customHeight="1" thickTop="1" x14ac:dyDescent="0.2">
      <c r="A21" s="2237" t="s">
        <v>595</v>
      </c>
      <c r="B21" s="2238"/>
      <c r="C21" s="1567"/>
      <c r="D21" s="1568"/>
      <c r="E21" s="1568"/>
      <c r="F21" s="1568"/>
      <c r="G21" s="1568"/>
      <c r="H21" s="1568"/>
      <c r="I21" s="1568"/>
      <c r="J21" s="1568"/>
      <c r="K21" s="1569"/>
      <c r="L21" s="521"/>
    </row>
    <row r="22" spans="1:12" ht="15.75" customHeight="1" collapsed="1" x14ac:dyDescent="0.2">
      <c r="A22" s="2233" t="s">
        <v>596</v>
      </c>
      <c r="B22" s="2234"/>
      <c r="C22" s="475"/>
      <c r="D22" s="475"/>
      <c r="E22" s="475"/>
      <c r="F22" s="475"/>
      <c r="G22" s="475"/>
      <c r="H22" s="475"/>
      <c r="I22" s="475"/>
      <c r="J22" s="475"/>
      <c r="K22" s="475"/>
      <c r="L22" s="347"/>
    </row>
    <row r="23" spans="1:12" s="483" customFormat="1" ht="15.75" customHeight="1" x14ac:dyDescent="0.2">
      <c r="A23" s="2229" t="s">
        <v>293</v>
      </c>
      <c r="B23" s="2230"/>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1791</v>
      </c>
      <c r="B30" s="524">
        <v>7160</v>
      </c>
      <c r="C30" s="475"/>
      <c r="D30" s="467">
        <v>0</v>
      </c>
      <c r="E30" s="475"/>
      <c r="F30" s="475"/>
      <c r="G30" s="475"/>
      <c r="H30" s="475"/>
      <c r="I30" s="475"/>
      <c r="J30" s="475"/>
      <c r="K30" s="475"/>
      <c r="L30" s="521"/>
    </row>
    <row r="31" spans="1:12" s="483" customFormat="1" ht="26.25" x14ac:dyDescent="0.2">
      <c r="A31" s="1486" t="s">
        <v>1795</v>
      </c>
      <c r="B31" s="524">
        <v>7170</v>
      </c>
      <c r="C31" s="475"/>
      <c r="D31" s="475"/>
      <c r="E31" s="473">
        <v>0</v>
      </c>
      <c r="F31" s="475"/>
      <c r="G31" s="475"/>
      <c r="H31" s="475"/>
      <c r="I31" s="475"/>
      <c r="J31" s="475"/>
      <c r="K31" s="475"/>
      <c r="L31" s="521"/>
    </row>
    <row r="32" spans="1:12" s="483" customFormat="1" ht="15.75" customHeight="1" x14ac:dyDescent="0.2">
      <c r="A32" s="2231" t="s">
        <v>981</v>
      </c>
      <c r="B32" s="2232"/>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0</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239" t="s">
        <v>374</v>
      </c>
      <c r="B44" s="2240"/>
      <c r="C44" s="1700">
        <f>SUM(C24:C43)</f>
        <v>0</v>
      </c>
      <c r="D44" s="1700">
        <f t="shared" ref="D44:K44" si="6">SUM(D24:D43)</f>
        <v>0</v>
      </c>
      <c r="E44" s="1700">
        <f t="shared" si="6"/>
        <v>0</v>
      </c>
      <c r="F44" s="1700">
        <f t="shared" si="6"/>
        <v>0</v>
      </c>
      <c r="G44" s="1700">
        <f t="shared" si="6"/>
        <v>0</v>
      </c>
      <c r="H44" s="1700">
        <f t="shared" si="6"/>
        <v>0</v>
      </c>
      <c r="I44" s="1700">
        <f t="shared" si="6"/>
        <v>0</v>
      </c>
      <c r="J44" s="1700">
        <f t="shared" si="6"/>
        <v>0</v>
      </c>
      <c r="K44" s="1700">
        <f t="shared" si="6"/>
        <v>0</v>
      </c>
      <c r="L44" s="521"/>
    </row>
    <row r="45" spans="1:12" ht="15.75" customHeight="1" thickTop="1" x14ac:dyDescent="0.2">
      <c r="A45" s="2233" t="s">
        <v>108</v>
      </c>
      <c r="B45" s="2234"/>
      <c r="C45" s="525"/>
      <c r="D45" s="525"/>
      <c r="E45" s="525"/>
      <c r="F45" s="525"/>
      <c r="G45" s="525"/>
      <c r="H45" s="525"/>
      <c r="I45" s="525"/>
      <c r="J45" s="525"/>
      <c r="K45" s="525"/>
      <c r="L45" s="347"/>
    </row>
    <row r="46" spans="1:12" s="483" customFormat="1" ht="15.75" customHeight="1" x14ac:dyDescent="0.2">
      <c r="A46" s="2241" t="s">
        <v>109</v>
      </c>
      <c r="B46" s="2242"/>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1794</v>
      </c>
      <c r="B52" s="481">
        <v>8160</v>
      </c>
      <c r="C52" s="475"/>
      <c r="D52" s="475"/>
      <c r="E52" s="475"/>
      <c r="F52" s="475"/>
      <c r="G52" s="475"/>
      <c r="H52" s="475"/>
      <c r="I52" s="475"/>
      <c r="J52" s="475"/>
      <c r="K52" s="1740">
        <f>D30</f>
        <v>0</v>
      </c>
      <c r="L52" s="521"/>
    </row>
    <row r="53" spans="1:12" s="483" customFormat="1" ht="26.25" x14ac:dyDescent="0.2">
      <c r="A53" s="1487" t="s">
        <v>1793</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215" t="s">
        <v>440</v>
      </c>
      <c r="B76" s="2216"/>
      <c r="C76" s="1700">
        <f t="shared" ref="C76:K76" si="7">SUM(C47:C75)</f>
        <v>0</v>
      </c>
      <c r="D76" s="1700">
        <f t="shared" si="7"/>
        <v>0</v>
      </c>
      <c r="E76" s="1700">
        <f t="shared" si="7"/>
        <v>0</v>
      </c>
      <c r="F76" s="1700">
        <f t="shared" si="7"/>
        <v>0</v>
      </c>
      <c r="G76" s="1700">
        <f t="shared" si="7"/>
        <v>0</v>
      </c>
      <c r="H76" s="1700">
        <f t="shared" si="7"/>
        <v>0</v>
      </c>
      <c r="I76" s="1700">
        <f t="shared" si="7"/>
        <v>0</v>
      </c>
      <c r="J76" s="1700">
        <f t="shared" si="7"/>
        <v>0</v>
      </c>
      <c r="K76" s="1700">
        <f t="shared" si="7"/>
        <v>0</v>
      </c>
      <c r="L76" s="521"/>
    </row>
    <row r="77" spans="1:12" ht="14.25" thickTop="1" thickBot="1" x14ac:dyDescent="0.25">
      <c r="A77" s="2217" t="s">
        <v>1177</v>
      </c>
      <c r="B77" s="2218"/>
      <c r="C77" s="1700">
        <f t="shared" ref="C77:K77" si="8">C44-C76</f>
        <v>0</v>
      </c>
      <c r="D77" s="1700">
        <f t="shared" si="8"/>
        <v>0</v>
      </c>
      <c r="E77" s="1700">
        <f t="shared" si="8"/>
        <v>0</v>
      </c>
      <c r="F77" s="1700">
        <f t="shared" si="8"/>
        <v>0</v>
      </c>
      <c r="G77" s="1700">
        <f t="shared" si="8"/>
        <v>0</v>
      </c>
      <c r="H77" s="1700">
        <f t="shared" si="8"/>
        <v>0</v>
      </c>
      <c r="I77" s="1700">
        <f t="shared" si="8"/>
        <v>0</v>
      </c>
      <c r="J77" s="1700">
        <f t="shared" si="8"/>
        <v>0</v>
      </c>
      <c r="K77" s="1700">
        <f t="shared" si="8"/>
        <v>0</v>
      </c>
      <c r="L77" s="347"/>
    </row>
    <row r="78" spans="1:12" ht="21.75" customHeight="1" thickTop="1" thickBot="1" x14ac:dyDescent="0.25">
      <c r="A78" s="2221" t="s">
        <v>597</v>
      </c>
      <c r="B78" s="2222"/>
      <c r="C78" s="1699">
        <f t="shared" ref="C78:K78" si="9">C20+C77</f>
        <v>-945060</v>
      </c>
      <c r="D78" s="1699">
        <f t="shared" si="9"/>
        <v>0</v>
      </c>
      <c r="E78" s="1699">
        <f t="shared" si="9"/>
        <v>0</v>
      </c>
      <c r="F78" s="1699">
        <f t="shared" si="9"/>
        <v>0</v>
      </c>
      <c r="G78" s="1699">
        <f t="shared" si="9"/>
        <v>0</v>
      </c>
      <c r="H78" s="1699">
        <f t="shared" si="9"/>
        <v>0</v>
      </c>
      <c r="I78" s="1699">
        <f t="shared" si="9"/>
        <v>0</v>
      </c>
      <c r="J78" s="1699">
        <f t="shared" si="9"/>
        <v>-3743</v>
      </c>
      <c r="K78" s="1699">
        <f t="shared" si="9"/>
        <v>0</v>
      </c>
      <c r="L78" s="530"/>
    </row>
    <row r="79" spans="1:12" ht="13.5" thickTop="1" x14ac:dyDescent="0.2">
      <c r="A79" s="1491" t="s">
        <v>1946</v>
      </c>
      <c r="B79" s="531"/>
      <c r="C79" s="476">
        <v>1001096</v>
      </c>
      <c r="D79" s="476">
        <v>0</v>
      </c>
      <c r="E79" s="476">
        <v>0</v>
      </c>
      <c r="F79" s="476">
        <v>0</v>
      </c>
      <c r="G79" s="476">
        <v>0</v>
      </c>
      <c r="H79" s="476">
        <v>0</v>
      </c>
      <c r="I79" s="476">
        <v>0</v>
      </c>
      <c r="J79" s="476">
        <v>99880</v>
      </c>
      <c r="K79" s="476">
        <v>0</v>
      </c>
      <c r="L79" s="347"/>
    </row>
    <row r="80" spans="1:12" x14ac:dyDescent="0.2">
      <c r="A80" s="2227" t="s">
        <v>1792</v>
      </c>
      <c r="B80" s="2228"/>
      <c r="C80" s="467">
        <v>0</v>
      </c>
      <c r="D80" s="467">
        <v>0</v>
      </c>
      <c r="E80" s="467">
        <v>0</v>
      </c>
      <c r="F80" s="467">
        <v>0</v>
      </c>
      <c r="G80" s="467">
        <v>0</v>
      </c>
      <c r="H80" s="467">
        <v>0</v>
      </c>
      <c r="I80" s="467">
        <v>0</v>
      </c>
      <c r="J80" s="467">
        <v>0</v>
      </c>
      <c r="K80" s="467">
        <v>0</v>
      </c>
      <c r="L80" s="347"/>
    </row>
    <row r="81" spans="1:12" ht="13.5" thickBot="1" x14ac:dyDescent="0.25">
      <c r="A81" s="2219" t="s">
        <v>1947</v>
      </c>
      <c r="B81" s="2220"/>
      <c r="C81" s="1685">
        <f>(SUM(C78:C80))</f>
        <v>56036</v>
      </c>
      <c r="D81" s="1685">
        <f>SUM(D78:D80)</f>
        <v>0</v>
      </c>
      <c r="E81" s="1685">
        <f t="shared" ref="E81:K81" si="10">SUM(E78:E80)</f>
        <v>0</v>
      </c>
      <c r="F81" s="1685">
        <f t="shared" si="10"/>
        <v>0</v>
      </c>
      <c r="G81" s="1685">
        <f t="shared" si="10"/>
        <v>0</v>
      </c>
      <c r="H81" s="1685">
        <f t="shared" si="10"/>
        <v>0</v>
      </c>
      <c r="I81" s="1685">
        <f t="shared" si="10"/>
        <v>0</v>
      </c>
      <c r="J81" s="1685">
        <f t="shared" si="10"/>
        <v>96137</v>
      </c>
      <c r="K81" s="1685">
        <f t="shared" si="10"/>
        <v>0</v>
      </c>
      <c r="L81" s="347"/>
    </row>
    <row r="82" spans="1:12" ht="0.75" customHeight="1" thickTop="1" thickBot="1" x14ac:dyDescent="0.25">
      <c r="A82" s="533" t="s">
        <v>343</v>
      </c>
      <c r="B82" s="534"/>
      <c r="C82" s="535">
        <f>(C81-C79)</f>
        <v>-945060</v>
      </c>
      <c r="D82" s="535">
        <f t="shared" ref="D82:K82" si="11">(D81-D79)</f>
        <v>0</v>
      </c>
      <c r="E82" s="535">
        <f t="shared" si="11"/>
        <v>0</v>
      </c>
      <c r="F82" s="535">
        <f t="shared" si="11"/>
        <v>0</v>
      </c>
      <c r="G82" s="535">
        <f t="shared" si="11"/>
        <v>0</v>
      </c>
      <c r="H82" s="535">
        <f t="shared" si="11"/>
        <v>0</v>
      </c>
      <c r="I82" s="535">
        <f t="shared" si="11"/>
        <v>0</v>
      </c>
      <c r="J82" s="535">
        <f t="shared" si="11"/>
        <v>-3743</v>
      </c>
      <c r="K82" s="535">
        <f t="shared" si="11"/>
        <v>0</v>
      </c>
    </row>
    <row r="83" spans="1:12" ht="14.25" hidden="1" thickTop="1" thickBot="1" x14ac:dyDescent="0.25">
      <c r="A83" s="536" t="s">
        <v>344</v>
      </c>
      <c r="B83" s="464"/>
      <c r="C83" s="537">
        <f>C82/C81</f>
        <v>-16.865229495324435</v>
      </c>
      <c r="D83" s="537" t="e">
        <f t="shared" ref="D83:K83" si="12">D82/D81</f>
        <v>#DIV/0!</v>
      </c>
      <c r="E83" s="537" t="e">
        <f t="shared" si="12"/>
        <v>#DIV/0!</v>
      </c>
      <c r="F83" s="537" t="e">
        <f t="shared" si="12"/>
        <v>#DIV/0!</v>
      </c>
      <c r="G83" s="537" t="e">
        <f t="shared" si="12"/>
        <v>#DIV/0!</v>
      </c>
      <c r="H83" s="537" t="e">
        <f t="shared" si="12"/>
        <v>#DIV/0!</v>
      </c>
      <c r="I83" s="537" t="e">
        <f t="shared" si="12"/>
        <v>#DIV/0!</v>
      </c>
      <c r="J83" s="537">
        <f t="shared" si="12"/>
        <v>-3.8934021240521338E-2</v>
      </c>
      <c r="K83" s="537" t="e">
        <f t="shared" si="12"/>
        <v>#DIV/0!</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L31" sqref="L31"/>
      <selection pane="bottomLeft" activeCell="C33" sqref="C33"/>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223" t="s">
        <v>1799</v>
      </c>
      <c r="B1" s="452"/>
      <c r="C1" s="453" t="s">
        <v>425</v>
      </c>
      <c r="D1" s="453" t="s">
        <v>426</v>
      </c>
      <c r="E1" s="453" t="s">
        <v>427</v>
      </c>
      <c r="F1" s="453" t="s">
        <v>428</v>
      </c>
      <c r="G1" s="453" t="s">
        <v>429</v>
      </c>
      <c r="H1" s="453" t="s">
        <v>430</v>
      </c>
      <c r="I1" s="453" t="s">
        <v>431</v>
      </c>
      <c r="J1" s="453" t="s">
        <v>432</v>
      </c>
      <c r="K1" s="453" t="s">
        <v>756</v>
      </c>
    </row>
    <row r="2" spans="1:12" ht="36" x14ac:dyDescent="0.2">
      <c r="A2" s="2224"/>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0</v>
      </c>
      <c r="D5" s="479">
        <v>0</v>
      </c>
      <c r="E5" s="466">
        <v>0</v>
      </c>
      <c r="F5" s="545">
        <v>0</v>
      </c>
      <c r="G5" s="466">
        <v>0</v>
      </c>
      <c r="H5" s="466">
        <v>0</v>
      </c>
      <c r="I5" s="466">
        <v>0</v>
      </c>
      <c r="J5" s="467">
        <v>0</v>
      </c>
      <c r="K5" s="466">
        <v>0</v>
      </c>
    </row>
    <row r="6" spans="1:12" ht="15" x14ac:dyDescent="0.2">
      <c r="A6" s="463" t="s">
        <v>1662</v>
      </c>
      <c r="B6" s="470">
        <v>1130</v>
      </c>
      <c r="C6" s="466">
        <v>0</v>
      </c>
      <c r="D6" s="466">
        <v>0</v>
      </c>
      <c r="E6" s="474"/>
      <c r="F6" s="474"/>
      <c r="G6" s="468"/>
      <c r="H6" s="468"/>
      <c r="I6" s="468"/>
      <c r="J6" s="468"/>
      <c r="K6" s="468"/>
    </row>
    <row r="7" spans="1:12" x14ac:dyDescent="0.2">
      <c r="A7" s="463" t="s">
        <v>110</v>
      </c>
      <c r="B7" s="546">
        <v>1140</v>
      </c>
      <c r="C7" s="466">
        <v>0</v>
      </c>
      <c r="D7" s="466">
        <v>0</v>
      </c>
      <c r="E7" s="468"/>
      <c r="F7" s="467">
        <v>0</v>
      </c>
      <c r="G7" s="467">
        <v>0</v>
      </c>
      <c r="H7" s="467">
        <v>0</v>
      </c>
      <c r="I7" s="468"/>
      <c r="J7" s="468"/>
      <c r="K7" s="468"/>
    </row>
    <row r="8" spans="1:12" x14ac:dyDescent="0.2">
      <c r="A8" s="463" t="s">
        <v>413</v>
      </c>
      <c r="B8" s="470">
        <v>1150</v>
      </c>
      <c r="C8" s="474"/>
      <c r="D8" s="474"/>
      <c r="E8" s="475"/>
      <c r="F8" s="475"/>
      <c r="G8" s="479">
        <v>0</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0</v>
      </c>
      <c r="D12" s="1704">
        <f t="shared" si="0"/>
        <v>0</v>
      </c>
      <c r="E12" s="1704">
        <f t="shared" si="0"/>
        <v>0</v>
      </c>
      <c r="F12" s="1704">
        <f t="shared" si="0"/>
        <v>0</v>
      </c>
      <c r="G12" s="1704">
        <f t="shared" si="0"/>
        <v>0</v>
      </c>
      <c r="H12" s="1704">
        <f t="shared" si="0"/>
        <v>0</v>
      </c>
      <c r="I12" s="1704">
        <f t="shared" si="0"/>
        <v>0</v>
      </c>
      <c r="J12" s="1704">
        <f t="shared" si="0"/>
        <v>0</v>
      </c>
      <c r="K12" s="1685">
        <f t="shared" si="0"/>
        <v>0</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0</v>
      </c>
      <c r="D14" s="466">
        <v>0</v>
      </c>
      <c r="E14" s="466">
        <v>0</v>
      </c>
      <c r="F14" s="466">
        <v>0</v>
      </c>
      <c r="G14" s="466">
        <v>0</v>
      </c>
      <c r="H14" s="466">
        <v>0</v>
      </c>
      <c r="I14" s="466">
        <v>0</v>
      </c>
      <c r="J14" s="467">
        <v>0</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0</v>
      </c>
      <c r="D16" s="466">
        <v>0</v>
      </c>
      <c r="E16" s="466">
        <v>0</v>
      </c>
      <c r="F16" s="466">
        <v>0</v>
      </c>
      <c r="G16" s="466">
        <v>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0</v>
      </c>
      <c r="D18" s="1707">
        <f t="shared" ref="D18:K18" si="1">SUM(D14:D17)</f>
        <v>0</v>
      </c>
      <c r="E18" s="1707">
        <f t="shared" si="1"/>
        <v>0</v>
      </c>
      <c r="F18" s="1707">
        <f t="shared" si="1"/>
        <v>0</v>
      </c>
      <c r="G18" s="1707">
        <f t="shared" si="1"/>
        <v>0</v>
      </c>
      <c r="H18" s="1707">
        <f t="shared" si="1"/>
        <v>0</v>
      </c>
      <c r="I18" s="1707">
        <f t="shared" si="1"/>
        <v>0</v>
      </c>
      <c r="J18" s="1707">
        <f t="shared" si="1"/>
        <v>0</v>
      </c>
      <c r="K18" s="1708">
        <f t="shared" si="1"/>
        <v>0</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4543245</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4543245</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5547</v>
      </c>
      <c r="D65" s="466">
        <v>0</v>
      </c>
      <c r="E65" s="466">
        <v>0</v>
      </c>
      <c r="F65" s="467">
        <v>0</v>
      </c>
      <c r="G65" s="466">
        <v>0</v>
      </c>
      <c r="H65" s="466">
        <v>0</v>
      </c>
      <c r="I65" s="466">
        <v>0</v>
      </c>
      <c r="J65" s="467">
        <v>728</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5547</v>
      </c>
      <c r="D67" s="1685">
        <f t="shared" ref="D67:K67" si="2">SUM(D65:D66)</f>
        <v>0</v>
      </c>
      <c r="E67" s="1685">
        <f t="shared" si="2"/>
        <v>0</v>
      </c>
      <c r="F67" s="1685">
        <f t="shared" si="2"/>
        <v>0</v>
      </c>
      <c r="G67" s="1685">
        <f t="shared" si="2"/>
        <v>0</v>
      </c>
      <c r="H67" s="1685">
        <f t="shared" si="2"/>
        <v>0</v>
      </c>
      <c r="I67" s="1685">
        <f t="shared" si="2"/>
        <v>0</v>
      </c>
      <c r="J67" s="1685">
        <f t="shared" si="2"/>
        <v>728</v>
      </c>
      <c r="K67" s="1685">
        <f t="shared" si="2"/>
        <v>0</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0</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5" t="s">
        <v>548</v>
      </c>
      <c r="B75" s="1706"/>
      <c r="C75" s="1685">
        <f>SUM(C69:C74)</f>
        <v>0</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0</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705" t="s">
        <v>241</v>
      </c>
      <c r="B82" s="1706"/>
      <c r="C82" s="1704">
        <f>SUM(C77:C81)</f>
        <v>0</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0</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0</v>
      </c>
      <c r="E95" s="518"/>
      <c r="F95" s="518"/>
      <c r="G95" s="518"/>
      <c r="H95" s="518"/>
      <c r="I95" s="518"/>
      <c r="J95" s="518"/>
      <c r="K95" s="518"/>
    </row>
    <row r="96" spans="1:11" ht="12.75" customHeight="1" x14ac:dyDescent="0.2">
      <c r="A96" s="463" t="s">
        <v>391</v>
      </c>
      <c r="B96" s="470">
        <v>1920</v>
      </c>
      <c r="C96" s="548">
        <v>0</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6277</v>
      </c>
      <c r="D99" s="466">
        <v>0</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0</v>
      </c>
      <c r="I103" s="468"/>
      <c r="J103" s="507"/>
      <c r="K103" s="507"/>
    </row>
    <row r="104" spans="1:12" ht="12.75" customHeight="1" x14ac:dyDescent="0.2">
      <c r="A104" s="463" t="s">
        <v>830</v>
      </c>
      <c r="B104" s="470">
        <v>1991</v>
      </c>
      <c r="C104" s="486">
        <v>1037</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0</v>
      </c>
      <c r="D107" s="466">
        <v>0</v>
      </c>
      <c r="E107" s="466">
        <v>0</v>
      </c>
      <c r="F107" s="466">
        <v>0</v>
      </c>
      <c r="G107" s="466">
        <v>0</v>
      </c>
      <c r="H107" s="466">
        <v>0</v>
      </c>
      <c r="I107" s="466">
        <v>0</v>
      </c>
      <c r="J107" s="467">
        <v>58002</v>
      </c>
      <c r="K107" s="466">
        <v>0</v>
      </c>
    </row>
    <row r="108" spans="1:12" ht="12.75" customHeight="1" thickBot="1" x14ac:dyDescent="0.25">
      <c r="A108" s="1705" t="s">
        <v>487</v>
      </c>
      <c r="B108" s="1709"/>
      <c r="C108" s="1704">
        <f>SUM(C95:C107)</f>
        <v>7314</v>
      </c>
      <c r="D108" s="1704">
        <f t="shared" ref="D108:K108" si="3">SUM(D95:D107)</f>
        <v>0</v>
      </c>
      <c r="E108" s="1704">
        <f t="shared" si="3"/>
        <v>0</v>
      </c>
      <c r="F108" s="1704">
        <f t="shared" si="3"/>
        <v>0</v>
      </c>
      <c r="G108" s="1704">
        <f t="shared" si="3"/>
        <v>0</v>
      </c>
      <c r="H108" s="1704">
        <f t="shared" si="3"/>
        <v>0</v>
      </c>
      <c r="I108" s="1704">
        <f t="shared" si="3"/>
        <v>0</v>
      </c>
      <c r="J108" s="1704">
        <f t="shared" si="3"/>
        <v>58002</v>
      </c>
      <c r="K108" s="1685">
        <f t="shared" si="3"/>
        <v>0</v>
      </c>
    </row>
    <row r="109" spans="1:12" ht="14.25" thickTop="1" thickBot="1" x14ac:dyDescent="0.25">
      <c r="A109" s="1710" t="s">
        <v>248</v>
      </c>
      <c r="B109" s="1711" t="s">
        <v>570</v>
      </c>
      <c r="C109" s="1712">
        <f t="shared" ref="C109:K109" si="4">SUM(C12,C18,C40,C63,C67,C75,C82,C93,C108,)</f>
        <v>4556106</v>
      </c>
      <c r="D109" s="1712">
        <f t="shared" si="4"/>
        <v>0</v>
      </c>
      <c r="E109" s="1712">
        <f t="shared" si="4"/>
        <v>0</v>
      </c>
      <c r="F109" s="1712">
        <f t="shared" si="4"/>
        <v>0</v>
      </c>
      <c r="G109" s="1712">
        <f t="shared" si="4"/>
        <v>0</v>
      </c>
      <c r="H109" s="1712">
        <f t="shared" si="4"/>
        <v>0</v>
      </c>
      <c r="I109" s="1712">
        <f t="shared" si="4"/>
        <v>0</v>
      </c>
      <c r="J109" s="1712">
        <f t="shared" si="4"/>
        <v>58730</v>
      </c>
      <c r="K109" s="1699">
        <f t="shared" si="4"/>
        <v>0</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927521</v>
      </c>
      <c r="D117" s="479">
        <v>0</v>
      </c>
      <c r="E117" s="466">
        <v>0</v>
      </c>
      <c r="F117" s="479">
        <v>0</v>
      </c>
      <c r="G117" s="479">
        <v>0</v>
      </c>
      <c r="H117" s="466">
        <v>0</v>
      </c>
      <c r="I117" s="468"/>
      <c r="J117" s="467">
        <v>0</v>
      </c>
      <c r="K117" s="466">
        <v>0</v>
      </c>
    </row>
    <row r="118" spans="1:11" ht="12.75" customHeight="1" x14ac:dyDescent="0.2">
      <c r="A118" s="463" t="s">
        <v>1796</v>
      </c>
      <c r="B118" s="559">
        <v>3002</v>
      </c>
      <c r="C118" s="548"/>
      <c r="D118" s="466"/>
      <c r="E118" s="466"/>
      <c r="F118" s="466"/>
      <c r="G118" s="466"/>
      <c r="H118" s="466"/>
      <c r="I118" s="468"/>
      <c r="J118" s="467"/>
      <c r="K118" s="466"/>
    </row>
    <row r="119" spans="1:11" ht="12.75" customHeight="1" x14ac:dyDescent="0.2">
      <c r="A119" s="463" t="s">
        <v>1797</v>
      </c>
      <c r="B119" s="559">
        <v>3005</v>
      </c>
      <c r="C119" s="548">
        <v>0</v>
      </c>
      <c r="D119" s="466">
        <v>0</v>
      </c>
      <c r="E119" s="466">
        <v>0</v>
      </c>
      <c r="F119" s="466">
        <v>0</v>
      </c>
      <c r="G119" s="479">
        <v>0</v>
      </c>
      <c r="H119" s="466">
        <v>0</v>
      </c>
      <c r="I119" s="468"/>
      <c r="J119" s="467">
        <v>0</v>
      </c>
      <c r="K119" s="466">
        <v>0</v>
      </c>
    </row>
    <row r="120" spans="1:11" ht="12.75" customHeight="1" x14ac:dyDescent="0.2">
      <c r="A120" s="1925" t="s">
        <v>1933</v>
      </c>
      <c r="B120" s="559">
        <v>3030</v>
      </c>
      <c r="C120" s="548">
        <v>0</v>
      </c>
      <c r="D120" s="466">
        <v>0</v>
      </c>
      <c r="E120" s="466">
        <v>0</v>
      </c>
      <c r="F120" s="466">
        <v>0</v>
      </c>
      <c r="G120" s="466">
        <v>0</v>
      </c>
      <c r="H120" s="466">
        <v>0</v>
      </c>
      <c r="I120" s="468"/>
      <c r="J120" s="467">
        <v>0</v>
      </c>
      <c r="K120" s="466">
        <v>0</v>
      </c>
    </row>
    <row r="121" spans="1:11" x14ac:dyDescent="0.2">
      <c r="A121" s="1493" t="s">
        <v>1798</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927521</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0</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0</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0</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0</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818</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0</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0</v>
      </c>
      <c r="G152" s="467">
        <v>0</v>
      </c>
      <c r="H152" s="468"/>
      <c r="I152" s="468"/>
      <c r="J152" s="468"/>
      <c r="K152" s="468"/>
    </row>
    <row r="153" spans="1:11" ht="12.75" customHeight="1" x14ac:dyDescent="0.2">
      <c r="A153" s="463" t="s">
        <v>1057</v>
      </c>
      <c r="B153" s="559">
        <v>3510</v>
      </c>
      <c r="C153" s="548">
        <v>0</v>
      </c>
      <c r="D153" s="466">
        <v>0</v>
      </c>
      <c r="E153" s="558"/>
      <c r="F153" s="466">
        <v>0</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0</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0</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0</v>
      </c>
      <c r="D168" s="577">
        <v>0</v>
      </c>
      <c r="E168" s="577">
        <v>0</v>
      </c>
      <c r="F168" s="577">
        <v>0</v>
      </c>
      <c r="G168" s="578">
        <v>0</v>
      </c>
      <c r="H168" s="579">
        <v>0</v>
      </c>
      <c r="I168" s="578">
        <v>0</v>
      </c>
      <c r="J168" s="578">
        <v>0</v>
      </c>
      <c r="K168" s="579">
        <v>0</v>
      </c>
    </row>
    <row r="169" spans="1:11" ht="12.75" customHeight="1" thickTop="1" thickBot="1" x14ac:dyDescent="0.25">
      <c r="A169" s="2243" t="s">
        <v>398</v>
      </c>
      <c r="B169" s="2244"/>
      <c r="C169" s="1719">
        <f t="shared" ref="C169:K169" si="6">SUM(C132,C141,C145,C146:C150,C155,C156:C167,C168)</f>
        <v>818</v>
      </c>
      <c r="D169" s="1719">
        <f t="shared" si="6"/>
        <v>0</v>
      </c>
      <c r="E169" s="1719">
        <f t="shared" si="6"/>
        <v>0</v>
      </c>
      <c r="F169" s="1719">
        <f t="shared" si="6"/>
        <v>0</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928339</v>
      </c>
      <c r="D170" s="1712">
        <f t="shared" si="7"/>
        <v>0</v>
      </c>
      <c r="E170" s="1712">
        <f t="shared" si="7"/>
        <v>0</v>
      </c>
      <c r="F170" s="1712">
        <f t="shared" si="7"/>
        <v>0</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245" t="s">
        <v>1492</v>
      </c>
      <c r="B172" s="2246"/>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249" t="s">
        <v>1665</v>
      </c>
      <c r="B175" s="2250"/>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253" t="s">
        <v>1664</v>
      </c>
      <c r="B176" s="2254"/>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251" t="s">
        <v>785</v>
      </c>
      <c r="B181" s="2252"/>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247" t="s">
        <v>1800</v>
      </c>
      <c r="B182" s="2248"/>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23807</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12815</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36622</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0</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0</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78067</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1577503</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1655570</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0</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5" t="s">
        <v>1934</v>
      </c>
      <c r="B261" s="470">
        <v>4981</v>
      </c>
      <c r="C261" s="572">
        <v>0</v>
      </c>
      <c r="D261" s="573">
        <v>0</v>
      </c>
      <c r="E261" s="468"/>
      <c r="F261" s="573">
        <v>0</v>
      </c>
      <c r="G261" s="573">
        <v>0</v>
      </c>
      <c r="H261" s="468"/>
      <c r="I261" s="468"/>
      <c r="J261" s="468"/>
      <c r="K261" s="468"/>
    </row>
    <row r="262" spans="1:11" ht="12.75" customHeight="1" thickTop="1" thickBot="1" x14ac:dyDescent="0.25">
      <c r="A262" s="1926" t="s">
        <v>1935</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76118</v>
      </c>
      <c r="D263" s="573">
        <v>0</v>
      </c>
      <c r="E263" s="468"/>
      <c r="F263" s="573">
        <v>0</v>
      </c>
      <c r="G263" s="573">
        <v>0</v>
      </c>
      <c r="H263" s="468"/>
      <c r="I263" s="468"/>
      <c r="J263" s="468"/>
      <c r="K263" s="468"/>
    </row>
    <row r="264" spans="1:11" ht="12.75" customHeight="1" thickTop="1" thickBot="1" x14ac:dyDescent="0.25">
      <c r="A264" s="463" t="s">
        <v>377</v>
      </c>
      <c r="B264" s="470">
        <v>4992</v>
      </c>
      <c r="C264" s="572">
        <v>103954</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1872264</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1872264</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7356709</v>
      </c>
      <c r="D268" s="1712">
        <f t="shared" si="12"/>
        <v>0</v>
      </c>
      <c r="E268" s="1712">
        <f t="shared" si="12"/>
        <v>0</v>
      </c>
      <c r="F268" s="1712">
        <f t="shared" si="12"/>
        <v>0</v>
      </c>
      <c r="G268" s="1712">
        <f t="shared" si="12"/>
        <v>0</v>
      </c>
      <c r="H268" s="1712">
        <f t="shared" si="12"/>
        <v>0</v>
      </c>
      <c r="I268" s="1712">
        <f t="shared" si="12"/>
        <v>0</v>
      </c>
      <c r="J268" s="1712">
        <f t="shared" si="12"/>
        <v>58730</v>
      </c>
      <c r="K268" s="1699">
        <f t="shared" si="12"/>
        <v>0</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1" right="0.2" top="0.61" bottom="0.35" header="0.28000000000000003" footer="0.1"/>
  <pageSetup scale="74"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L31" sqref="L31"/>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223" t="s">
        <v>1799</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257"/>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263" t="s">
        <v>297</v>
      </c>
      <c r="B3" s="2264"/>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0</v>
      </c>
      <c r="D5" s="466">
        <v>0</v>
      </c>
      <c r="E5" s="466">
        <v>0</v>
      </c>
      <c r="F5" s="466">
        <v>0</v>
      </c>
      <c r="G5" s="466">
        <v>0</v>
      </c>
      <c r="H5" s="466">
        <v>0</v>
      </c>
      <c r="I5" s="467">
        <v>0</v>
      </c>
      <c r="J5" s="467">
        <v>0</v>
      </c>
      <c r="K5" s="1668">
        <f>SUM(C5:J5)</f>
        <v>0</v>
      </c>
      <c r="L5" s="471">
        <v>0</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0</v>
      </c>
      <c r="D7" s="467">
        <v>0</v>
      </c>
      <c r="E7" s="467">
        <v>0</v>
      </c>
      <c r="F7" s="467">
        <v>0</v>
      </c>
      <c r="G7" s="467">
        <v>0</v>
      </c>
      <c r="H7" s="467">
        <v>0</v>
      </c>
      <c r="I7" s="467">
        <v>0</v>
      </c>
      <c r="J7" s="467">
        <v>0</v>
      </c>
      <c r="K7" s="1668">
        <f t="shared" ref="K7:K32" si="0">SUM(C7:J7)</f>
        <v>0</v>
      </c>
      <c r="L7" s="471">
        <v>0</v>
      </c>
    </row>
    <row r="8" spans="1:14" x14ac:dyDescent="0.2">
      <c r="A8" s="1501" t="s">
        <v>164</v>
      </c>
      <c r="B8" s="611">
        <v>1200</v>
      </c>
      <c r="C8" s="466">
        <v>2896820</v>
      </c>
      <c r="D8" s="466">
        <v>733276</v>
      </c>
      <c r="E8" s="466">
        <v>175330</v>
      </c>
      <c r="F8" s="466">
        <v>78750</v>
      </c>
      <c r="G8" s="466">
        <v>0</v>
      </c>
      <c r="H8" s="466">
        <v>1871</v>
      </c>
      <c r="I8" s="467">
        <v>41637</v>
      </c>
      <c r="J8" s="467">
        <v>0</v>
      </c>
      <c r="K8" s="1668">
        <f t="shared" si="0"/>
        <v>3927684</v>
      </c>
      <c r="L8" s="471">
        <v>4344714</v>
      </c>
    </row>
    <row r="9" spans="1:14" x14ac:dyDescent="0.2">
      <c r="A9" s="1501" t="s">
        <v>721</v>
      </c>
      <c r="B9" s="611" t="s">
        <v>968</v>
      </c>
      <c r="C9" s="467">
        <v>327154</v>
      </c>
      <c r="D9" s="467">
        <v>79911</v>
      </c>
      <c r="E9" s="467">
        <v>0</v>
      </c>
      <c r="F9" s="467">
        <v>6024</v>
      </c>
      <c r="G9" s="467">
        <v>0</v>
      </c>
      <c r="H9" s="467">
        <v>0</v>
      </c>
      <c r="I9" s="467">
        <v>0</v>
      </c>
      <c r="J9" s="467">
        <v>0</v>
      </c>
      <c r="K9" s="1668">
        <f t="shared" si="0"/>
        <v>413089</v>
      </c>
      <c r="L9" s="471">
        <v>0</v>
      </c>
    </row>
    <row r="10" spans="1:14" x14ac:dyDescent="0.2">
      <c r="A10" s="1501" t="s">
        <v>722</v>
      </c>
      <c r="B10" s="611">
        <v>1250</v>
      </c>
      <c r="C10" s="466">
        <v>0</v>
      </c>
      <c r="D10" s="466">
        <v>0</v>
      </c>
      <c r="E10" s="466">
        <v>0</v>
      </c>
      <c r="F10" s="466">
        <v>0</v>
      </c>
      <c r="G10" s="466">
        <v>0</v>
      </c>
      <c r="H10" s="466">
        <v>0</v>
      </c>
      <c r="I10" s="467">
        <v>0</v>
      </c>
      <c r="J10" s="467">
        <v>0</v>
      </c>
      <c r="K10" s="1668">
        <f t="shared" si="0"/>
        <v>0</v>
      </c>
      <c r="L10" s="471">
        <v>0</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0</v>
      </c>
      <c r="D13" s="466">
        <v>0</v>
      </c>
      <c r="E13" s="466">
        <v>0</v>
      </c>
      <c r="F13" s="466">
        <v>0</v>
      </c>
      <c r="G13" s="466">
        <v>0</v>
      </c>
      <c r="H13" s="466">
        <v>0</v>
      </c>
      <c r="I13" s="467">
        <v>0</v>
      </c>
      <c r="J13" s="467">
        <v>0</v>
      </c>
      <c r="K13" s="1668">
        <f t="shared" si="0"/>
        <v>0</v>
      </c>
      <c r="L13" s="471">
        <v>0</v>
      </c>
    </row>
    <row r="14" spans="1:14" x14ac:dyDescent="0.2">
      <c r="A14" s="1501" t="s">
        <v>963</v>
      </c>
      <c r="B14" s="611">
        <v>1500</v>
      </c>
      <c r="C14" s="466">
        <v>0</v>
      </c>
      <c r="D14" s="466">
        <v>0</v>
      </c>
      <c r="E14" s="466">
        <v>0</v>
      </c>
      <c r="F14" s="466">
        <v>0</v>
      </c>
      <c r="G14" s="466">
        <v>0</v>
      </c>
      <c r="H14" s="466">
        <v>0</v>
      </c>
      <c r="I14" s="467">
        <v>0</v>
      </c>
      <c r="J14" s="467">
        <v>0</v>
      </c>
      <c r="K14" s="1668">
        <f t="shared" si="0"/>
        <v>0</v>
      </c>
      <c r="L14" s="471">
        <v>0</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0</v>
      </c>
      <c r="D17" s="467">
        <v>0</v>
      </c>
      <c r="E17" s="467">
        <v>0</v>
      </c>
      <c r="F17" s="467">
        <v>0</v>
      </c>
      <c r="G17" s="467">
        <v>0</v>
      </c>
      <c r="H17" s="467">
        <v>0</v>
      </c>
      <c r="I17" s="467">
        <v>0</v>
      </c>
      <c r="J17" s="467">
        <v>0</v>
      </c>
      <c r="K17" s="1668">
        <f t="shared" si="0"/>
        <v>0</v>
      </c>
      <c r="L17" s="471">
        <v>0</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0</v>
      </c>
      <c r="I22" s="613"/>
      <c r="J22" s="475"/>
      <c r="K22" s="1668">
        <f t="shared" si="0"/>
        <v>0</v>
      </c>
      <c r="L22" s="471">
        <v>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3223974</v>
      </c>
      <c r="D33" s="1667">
        <f t="shared" ref="D33:L33" si="1">SUM(D5:D32)</f>
        <v>813187</v>
      </c>
      <c r="E33" s="1667">
        <f t="shared" si="1"/>
        <v>175330</v>
      </c>
      <c r="F33" s="1667">
        <f t="shared" si="1"/>
        <v>84774</v>
      </c>
      <c r="G33" s="1667">
        <f t="shared" si="1"/>
        <v>0</v>
      </c>
      <c r="H33" s="1667">
        <f t="shared" si="1"/>
        <v>1871</v>
      </c>
      <c r="I33" s="1667">
        <f t="shared" si="1"/>
        <v>41637</v>
      </c>
      <c r="J33" s="1667">
        <f t="shared" si="1"/>
        <v>0</v>
      </c>
      <c r="K33" s="1667">
        <f t="shared" si="1"/>
        <v>4340773</v>
      </c>
      <c r="L33" s="1667">
        <f t="shared" si="1"/>
        <v>4344714</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636472</v>
      </c>
      <c r="D36" s="479">
        <v>137193</v>
      </c>
      <c r="E36" s="479">
        <v>283</v>
      </c>
      <c r="F36" s="479">
        <v>793</v>
      </c>
      <c r="G36" s="479">
        <v>0</v>
      </c>
      <c r="H36" s="479">
        <v>0</v>
      </c>
      <c r="I36" s="467">
        <v>12435</v>
      </c>
      <c r="J36" s="467">
        <v>0</v>
      </c>
      <c r="K36" s="1668">
        <f t="shared" ref="K36:K41" si="2">SUM(C36:J36)</f>
        <v>787176</v>
      </c>
      <c r="L36" s="466">
        <v>816388</v>
      </c>
    </row>
    <row r="37" spans="1:14" x14ac:dyDescent="0.2">
      <c r="A37" s="1501" t="s">
        <v>1090</v>
      </c>
      <c r="B37" s="611">
        <v>2120</v>
      </c>
      <c r="C37" s="466">
        <v>0</v>
      </c>
      <c r="D37" s="466">
        <v>0</v>
      </c>
      <c r="E37" s="466">
        <v>0</v>
      </c>
      <c r="F37" s="466">
        <v>0</v>
      </c>
      <c r="G37" s="466">
        <v>0</v>
      </c>
      <c r="H37" s="466">
        <v>0</v>
      </c>
      <c r="I37" s="467">
        <v>0</v>
      </c>
      <c r="J37" s="467">
        <v>0</v>
      </c>
      <c r="K37" s="1668">
        <f t="shared" si="2"/>
        <v>0</v>
      </c>
      <c r="L37" s="466">
        <v>0</v>
      </c>
    </row>
    <row r="38" spans="1:14" x14ac:dyDescent="0.2">
      <c r="A38" s="1501" t="s">
        <v>198</v>
      </c>
      <c r="B38" s="611">
        <v>2130</v>
      </c>
      <c r="C38" s="466">
        <v>0</v>
      </c>
      <c r="D38" s="466">
        <v>0</v>
      </c>
      <c r="E38" s="466">
        <v>182107</v>
      </c>
      <c r="F38" s="466">
        <v>131</v>
      </c>
      <c r="G38" s="466">
        <v>0</v>
      </c>
      <c r="H38" s="466">
        <v>0</v>
      </c>
      <c r="I38" s="467">
        <v>0</v>
      </c>
      <c r="J38" s="467">
        <v>0</v>
      </c>
      <c r="K38" s="1668">
        <f t="shared" si="2"/>
        <v>182238</v>
      </c>
      <c r="L38" s="466">
        <v>163900</v>
      </c>
    </row>
    <row r="39" spans="1:14" x14ac:dyDescent="0.2">
      <c r="A39" s="1501" t="s">
        <v>199</v>
      </c>
      <c r="B39" s="611">
        <v>2140</v>
      </c>
      <c r="C39" s="466">
        <v>549786</v>
      </c>
      <c r="D39" s="466">
        <v>97486</v>
      </c>
      <c r="E39" s="466">
        <v>4712</v>
      </c>
      <c r="F39" s="466">
        <v>15329</v>
      </c>
      <c r="G39" s="466">
        <v>0</v>
      </c>
      <c r="H39" s="466">
        <v>0</v>
      </c>
      <c r="I39" s="467">
        <v>4718</v>
      </c>
      <c r="J39" s="467">
        <v>0</v>
      </c>
      <c r="K39" s="1668">
        <f t="shared" si="2"/>
        <v>672031</v>
      </c>
      <c r="L39" s="466">
        <v>671776</v>
      </c>
    </row>
    <row r="40" spans="1:14" x14ac:dyDescent="0.2">
      <c r="A40" s="1501" t="s">
        <v>200</v>
      </c>
      <c r="B40" s="611">
        <v>2150</v>
      </c>
      <c r="C40" s="466">
        <v>594286</v>
      </c>
      <c r="D40" s="466">
        <v>122378</v>
      </c>
      <c r="E40" s="466">
        <v>964</v>
      </c>
      <c r="F40" s="466">
        <v>5193</v>
      </c>
      <c r="G40" s="466">
        <v>0</v>
      </c>
      <c r="H40" s="466">
        <v>2086</v>
      </c>
      <c r="I40" s="467">
        <v>10944</v>
      </c>
      <c r="J40" s="467">
        <v>0</v>
      </c>
      <c r="K40" s="1668">
        <f t="shared" si="2"/>
        <v>735851</v>
      </c>
      <c r="L40" s="466">
        <v>768412</v>
      </c>
    </row>
    <row r="41" spans="1:14" x14ac:dyDescent="0.2">
      <c r="A41" s="1501" t="s">
        <v>1669</v>
      </c>
      <c r="B41" s="611">
        <v>2190</v>
      </c>
      <c r="C41" s="466">
        <v>0</v>
      </c>
      <c r="D41" s="466">
        <v>0</v>
      </c>
      <c r="E41" s="466">
        <v>0</v>
      </c>
      <c r="F41" s="466">
        <v>0</v>
      </c>
      <c r="G41" s="466">
        <v>0</v>
      </c>
      <c r="H41" s="466">
        <v>0</v>
      </c>
      <c r="I41" s="467">
        <v>0</v>
      </c>
      <c r="J41" s="467">
        <v>0</v>
      </c>
      <c r="K41" s="1668">
        <f t="shared" si="2"/>
        <v>0</v>
      </c>
      <c r="L41" s="466">
        <v>0</v>
      </c>
    </row>
    <row r="42" spans="1:14" ht="12.75" customHeight="1" thickBot="1" x14ac:dyDescent="0.25">
      <c r="A42" s="1665" t="s">
        <v>560</v>
      </c>
      <c r="B42" s="1666" t="s">
        <v>716</v>
      </c>
      <c r="C42" s="1667">
        <f>SUM(C36:C41)</f>
        <v>1780544</v>
      </c>
      <c r="D42" s="1667">
        <f t="shared" ref="D42:L42" si="3">SUM(D36:D41)</f>
        <v>357057</v>
      </c>
      <c r="E42" s="1667">
        <f t="shared" si="3"/>
        <v>188066</v>
      </c>
      <c r="F42" s="1667">
        <f t="shared" si="3"/>
        <v>21446</v>
      </c>
      <c r="G42" s="1667">
        <f t="shared" si="3"/>
        <v>0</v>
      </c>
      <c r="H42" s="1667">
        <f t="shared" si="3"/>
        <v>2086</v>
      </c>
      <c r="I42" s="1667">
        <f t="shared" si="3"/>
        <v>28097</v>
      </c>
      <c r="J42" s="1667">
        <f t="shared" si="3"/>
        <v>0</v>
      </c>
      <c r="K42" s="1667">
        <f t="shared" si="3"/>
        <v>2377296</v>
      </c>
      <c r="L42" s="1667">
        <f t="shared" si="3"/>
        <v>2420476</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538499</v>
      </c>
      <c r="D44" s="479">
        <v>266836</v>
      </c>
      <c r="E44" s="479">
        <v>43589</v>
      </c>
      <c r="F44" s="479">
        <v>5861</v>
      </c>
      <c r="G44" s="479">
        <v>0</v>
      </c>
      <c r="H44" s="479">
        <v>0</v>
      </c>
      <c r="I44" s="467">
        <v>0</v>
      </c>
      <c r="J44" s="467">
        <v>0</v>
      </c>
      <c r="K44" s="1669">
        <f>SUM(C44:J44)</f>
        <v>854785</v>
      </c>
      <c r="L44" s="479">
        <v>818605</v>
      </c>
    </row>
    <row r="45" spans="1:14" x14ac:dyDescent="0.2">
      <c r="A45" s="1501" t="s">
        <v>815</v>
      </c>
      <c r="B45" s="611">
        <v>2220</v>
      </c>
      <c r="C45" s="466">
        <v>0</v>
      </c>
      <c r="D45" s="466">
        <v>0</v>
      </c>
      <c r="E45" s="466">
        <v>0</v>
      </c>
      <c r="F45" s="466">
        <v>0</v>
      </c>
      <c r="G45" s="466">
        <v>0</v>
      </c>
      <c r="H45" s="466">
        <v>0</v>
      </c>
      <c r="I45" s="467">
        <v>0</v>
      </c>
      <c r="J45" s="467">
        <v>0</v>
      </c>
      <c r="K45" s="1669">
        <f>SUM(C45:J45)</f>
        <v>0</v>
      </c>
      <c r="L45" s="466">
        <v>0</v>
      </c>
    </row>
    <row r="46" spans="1:14" x14ac:dyDescent="0.2">
      <c r="A46" s="1501" t="s">
        <v>816</v>
      </c>
      <c r="B46" s="611">
        <v>2230</v>
      </c>
      <c r="C46" s="466">
        <v>0</v>
      </c>
      <c r="D46" s="466">
        <v>0</v>
      </c>
      <c r="E46" s="466">
        <v>0</v>
      </c>
      <c r="F46" s="466">
        <v>0</v>
      </c>
      <c r="G46" s="466">
        <v>0</v>
      </c>
      <c r="H46" s="466">
        <v>0</v>
      </c>
      <c r="I46" s="467">
        <v>0</v>
      </c>
      <c r="J46" s="467">
        <v>0</v>
      </c>
      <c r="K46" s="1669">
        <f>SUM(C46:J46)</f>
        <v>0</v>
      </c>
      <c r="L46" s="466">
        <v>0</v>
      </c>
    </row>
    <row r="47" spans="1:14" ht="12.75" customHeight="1" thickBot="1" x14ac:dyDescent="0.25">
      <c r="A47" s="1665" t="s">
        <v>561</v>
      </c>
      <c r="B47" s="1666" t="s">
        <v>32</v>
      </c>
      <c r="C47" s="1667">
        <f>SUM(C44:C46)</f>
        <v>538499</v>
      </c>
      <c r="D47" s="1667">
        <f t="shared" ref="D47:K47" si="4">SUM(D44:D46)</f>
        <v>266836</v>
      </c>
      <c r="E47" s="1667">
        <f t="shared" si="4"/>
        <v>43589</v>
      </c>
      <c r="F47" s="1667">
        <f t="shared" si="4"/>
        <v>5861</v>
      </c>
      <c r="G47" s="1667">
        <f t="shared" si="4"/>
        <v>0</v>
      </c>
      <c r="H47" s="1667">
        <f t="shared" si="4"/>
        <v>0</v>
      </c>
      <c r="I47" s="1667">
        <f t="shared" si="4"/>
        <v>0</v>
      </c>
      <c r="J47" s="1667">
        <f t="shared" si="4"/>
        <v>0</v>
      </c>
      <c r="K47" s="1667">
        <f t="shared" si="4"/>
        <v>854785</v>
      </c>
      <c r="L47" s="1667">
        <f>SUM(L44:L46)</f>
        <v>818605</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0</v>
      </c>
      <c r="D49" s="479">
        <v>0</v>
      </c>
      <c r="E49" s="479">
        <v>0</v>
      </c>
      <c r="F49" s="479">
        <v>0</v>
      </c>
      <c r="G49" s="479">
        <v>0</v>
      </c>
      <c r="H49" s="479">
        <v>0</v>
      </c>
      <c r="I49" s="467">
        <v>0</v>
      </c>
      <c r="J49" s="467">
        <v>0</v>
      </c>
      <c r="K49" s="1669">
        <f>SUM(C49:J49)</f>
        <v>0</v>
      </c>
      <c r="L49" s="479">
        <v>0</v>
      </c>
    </row>
    <row r="50" spans="1:14" x14ac:dyDescent="0.2">
      <c r="A50" s="1501" t="s">
        <v>818</v>
      </c>
      <c r="B50" s="611">
        <v>2320</v>
      </c>
      <c r="C50" s="467">
        <v>0</v>
      </c>
      <c r="D50" s="466">
        <v>0</v>
      </c>
      <c r="E50" s="466">
        <v>0</v>
      </c>
      <c r="F50" s="466">
        <v>0</v>
      </c>
      <c r="G50" s="466">
        <v>0</v>
      </c>
      <c r="H50" s="466">
        <v>0</v>
      </c>
      <c r="I50" s="467">
        <v>0</v>
      </c>
      <c r="J50" s="467">
        <v>0</v>
      </c>
      <c r="K50" s="1669">
        <f>SUM(C50:J50)</f>
        <v>0</v>
      </c>
      <c r="L50" s="466">
        <v>0</v>
      </c>
    </row>
    <row r="51" spans="1:14" x14ac:dyDescent="0.2">
      <c r="A51" s="1501" t="s">
        <v>42</v>
      </c>
      <c r="B51" s="611">
        <v>2330</v>
      </c>
      <c r="C51" s="466">
        <v>172376</v>
      </c>
      <c r="D51" s="466">
        <v>35826</v>
      </c>
      <c r="E51" s="466">
        <v>49957</v>
      </c>
      <c r="F51" s="466">
        <v>14537</v>
      </c>
      <c r="G51" s="466">
        <v>0</v>
      </c>
      <c r="H51" s="466">
        <v>22795</v>
      </c>
      <c r="I51" s="467">
        <v>6994</v>
      </c>
      <c r="J51" s="467">
        <v>0</v>
      </c>
      <c r="K51" s="1669">
        <f>SUM(C51:J51)</f>
        <v>302485</v>
      </c>
      <c r="L51" s="466">
        <v>298204</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172376</v>
      </c>
      <c r="D53" s="1667">
        <f t="shared" ref="D53:L53" si="5">SUM(D49:D52)</f>
        <v>35826</v>
      </c>
      <c r="E53" s="1667">
        <f t="shared" si="5"/>
        <v>49957</v>
      </c>
      <c r="F53" s="1667">
        <f t="shared" si="5"/>
        <v>14537</v>
      </c>
      <c r="G53" s="1667">
        <f t="shared" si="5"/>
        <v>0</v>
      </c>
      <c r="H53" s="1667">
        <f t="shared" si="5"/>
        <v>22795</v>
      </c>
      <c r="I53" s="1667">
        <f t="shared" si="5"/>
        <v>6994</v>
      </c>
      <c r="J53" s="1667">
        <f t="shared" si="5"/>
        <v>0</v>
      </c>
      <c r="K53" s="1667">
        <f t="shared" si="5"/>
        <v>302485</v>
      </c>
      <c r="L53" s="1667">
        <f t="shared" si="5"/>
        <v>298204</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76213</v>
      </c>
      <c r="D55" s="479">
        <v>28502</v>
      </c>
      <c r="E55" s="479">
        <v>0</v>
      </c>
      <c r="F55" s="479">
        <v>19031</v>
      </c>
      <c r="G55" s="479">
        <v>0</v>
      </c>
      <c r="H55" s="479">
        <v>0</v>
      </c>
      <c r="I55" s="467">
        <v>0</v>
      </c>
      <c r="J55" s="467">
        <v>0</v>
      </c>
      <c r="K55" s="1669">
        <f>SUM(C55:J55)</f>
        <v>123746</v>
      </c>
      <c r="L55" s="479">
        <v>121247</v>
      </c>
    </row>
    <row r="56" spans="1:14" ht="12.75" customHeight="1" x14ac:dyDescent="0.2">
      <c r="A56" s="1505" t="s">
        <v>376</v>
      </c>
      <c r="B56" s="625">
        <v>2490</v>
      </c>
      <c r="C56" s="466">
        <v>0</v>
      </c>
      <c r="D56" s="466">
        <v>0</v>
      </c>
      <c r="E56" s="466">
        <v>1500</v>
      </c>
      <c r="F56" s="466">
        <v>800</v>
      </c>
      <c r="G56" s="466">
        <v>0</v>
      </c>
      <c r="H56" s="466">
        <v>0</v>
      </c>
      <c r="I56" s="467">
        <v>0</v>
      </c>
      <c r="J56" s="467">
        <v>0</v>
      </c>
      <c r="K56" s="1669">
        <f>SUM(C56:J56)</f>
        <v>2300</v>
      </c>
      <c r="L56" s="466">
        <v>2500</v>
      </c>
    </row>
    <row r="57" spans="1:14" s="343" customFormat="1" ht="12.75" customHeight="1" thickBot="1" x14ac:dyDescent="0.25">
      <c r="A57" s="1665" t="s">
        <v>263</v>
      </c>
      <c r="B57" s="1670" t="s">
        <v>34</v>
      </c>
      <c r="C57" s="1671">
        <f>SUM(C55:C56)</f>
        <v>76213</v>
      </c>
      <c r="D57" s="1671">
        <f t="shared" ref="D57:K57" si="6">SUM(D55:D56)</f>
        <v>28502</v>
      </c>
      <c r="E57" s="1671">
        <f t="shared" si="6"/>
        <v>1500</v>
      </c>
      <c r="F57" s="1671">
        <f t="shared" si="6"/>
        <v>19831</v>
      </c>
      <c r="G57" s="1671">
        <f t="shared" si="6"/>
        <v>0</v>
      </c>
      <c r="H57" s="1671">
        <f t="shared" si="6"/>
        <v>0</v>
      </c>
      <c r="I57" s="1671">
        <f t="shared" si="6"/>
        <v>0</v>
      </c>
      <c r="J57" s="1671">
        <f t="shared" si="6"/>
        <v>0</v>
      </c>
      <c r="K57" s="1671">
        <f t="shared" si="6"/>
        <v>126046</v>
      </c>
      <c r="L57" s="1667">
        <f>SUM(L55:L56)</f>
        <v>123747</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36510</v>
      </c>
      <c r="D60" s="466">
        <v>10187</v>
      </c>
      <c r="E60" s="466">
        <v>8075</v>
      </c>
      <c r="F60" s="466">
        <v>993</v>
      </c>
      <c r="G60" s="466">
        <v>0</v>
      </c>
      <c r="H60" s="466">
        <v>9465</v>
      </c>
      <c r="I60" s="467">
        <v>0</v>
      </c>
      <c r="J60" s="467">
        <v>0</v>
      </c>
      <c r="K60" s="1669">
        <f t="shared" si="7"/>
        <v>65230</v>
      </c>
      <c r="L60" s="466">
        <v>72361</v>
      </c>
      <c r="M60" s="606"/>
      <c r="N60" s="606"/>
    </row>
    <row r="61" spans="1:14" s="343" customFormat="1" x14ac:dyDescent="0.2">
      <c r="A61" s="1501" t="s">
        <v>197</v>
      </c>
      <c r="B61" s="611">
        <v>2540</v>
      </c>
      <c r="C61" s="466">
        <v>15870</v>
      </c>
      <c r="D61" s="466">
        <v>1328</v>
      </c>
      <c r="E61" s="466">
        <v>95284</v>
      </c>
      <c r="F61" s="466">
        <v>6389</v>
      </c>
      <c r="G61" s="466">
        <v>0</v>
      </c>
      <c r="H61" s="466">
        <v>0</v>
      </c>
      <c r="I61" s="467">
        <v>0</v>
      </c>
      <c r="J61" s="467">
        <v>0</v>
      </c>
      <c r="K61" s="1669">
        <f t="shared" si="7"/>
        <v>118871</v>
      </c>
      <c r="L61" s="466">
        <v>119617</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0</v>
      </c>
      <c r="D63" s="466">
        <v>0</v>
      </c>
      <c r="E63" s="466">
        <v>61054</v>
      </c>
      <c r="F63" s="466">
        <v>0</v>
      </c>
      <c r="G63" s="466">
        <v>0</v>
      </c>
      <c r="H63" s="466">
        <v>0</v>
      </c>
      <c r="I63" s="467">
        <v>0</v>
      </c>
      <c r="J63" s="467">
        <v>0</v>
      </c>
      <c r="K63" s="1669">
        <f t="shared" si="7"/>
        <v>61054</v>
      </c>
      <c r="L63" s="466">
        <v>51000</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438</v>
      </c>
    </row>
    <row r="65" spans="1:14" s="343" customFormat="1" ht="12.75" customHeight="1" thickBot="1" x14ac:dyDescent="0.25">
      <c r="A65" s="1665" t="s">
        <v>719</v>
      </c>
      <c r="B65" s="1666" t="s">
        <v>35</v>
      </c>
      <c r="C65" s="1667">
        <f>SUM(C59:C64)</f>
        <v>52380</v>
      </c>
      <c r="D65" s="1667">
        <f t="shared" ref="D65:L65" si="8">SUM(D59:D64)</f>
        <v>11515</v>
      </c>
      <c r="E65" s="1667">
        <f t="shared" si="8"/>
        <v>164413</v>
      </c>
      <c r="F65" s="1667">
        <f t="shared" si="8"/>
        <v>7382</v>
      </c>
      <c r="G65" s="1667">
        <f t="shared" si="8"/>
        <v>0</v>
      </c>
      <c r="H65" s="1667">
        <f t="shared" si="8"/>
        <v>9465</v>
      </c>
      <c r="I65" s="1667">
        <f t="shared" si="8"/>
        <v>0</v>
      </c>
      <c r="J65" s="1667">
        <f t="shared" si="8"/>
        <v>0</v>
      </c>
      <c r="K65" s="1667">
        <f t="shared" si="8"/>
        <v>245155</v>
      </c>
      <c r="L65" s="1667">
        <f t="shared" si="8"/>
        <v>243416</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14042</v>
      </c>
      <c r="F67" s="466">
        <v>0</v>
      </c>
      <c r="G67" s="466">
        <v>0</v>
      </c>
      <c r="H67" s="466">
        <v>0</v>
      </c>
      <c r="I67" s="467">
        <v>0</v>
      </c>
      <c r="J67" s="467">
        <v>0</v>
      </c>
      <c r="K67" s="1669">
        <f>SUM(C67:J67)</f>
        <v>14042</v>
      </c>
      <c r="L67" s="479">
        <v>14103</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1930</v>
      </c>
      <c r="F69" s="466">
        <v>0</v>
      </c>
      <c r="G69" s="466">
        <v>0</v>
      </c>
      <c r="H69" s="466">
        <v>0</v>
      </c>
      <c r="I69" s="467">
        <v>0</v>
      </c>
      <c r="J69" s="467">
        <v>0</v>
      </c>
      <c r="K69" s="1669">
        <f>SUM(C69:J69)</f>
        <v>1930</v>
      </c>
      <c r="L69" s="466">
        <v>1660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15972</v>
      </c>
      <c r="F72" s="1667">
        <f t="shared" si="9"/>
        <v>0</v>
      </c>
      <c r="G72" s="1667">
        <f t="shared" si="9"/>
        <v>0</v>
      </c>
      <c r="H72" s="1667">
        <f t="shared" si="9"/>
        <v>0</v>
      </c>
      <c r="I72" s="1667">
        <f t="shared" si="9"/>
        <v>0</v>
      </c>
      <c r="J72" s="1667">
        <f t="shared" si="9"/>
        <v>0</v>
      </c>
      <c r="K72" s="1667">
        <f t="shared" si="9"/>
        <v>15972</v>
      </c>
      <c r="L72" s="1667">
        <f>SUM(L67:L71)</f>
        <v>15763</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2620012</v>
      </c>
      <c r="D74" s="1674">
        <f t="shared" ref="D74:K74" si="10">SUM(D42,D47,D53,D57,D65,D72,D73)</f>
        <v>699736</v>
      </c>
      <c r="E74" s="1674">
        <f t="shared" si="10"/>
        <v>463497</v>
      </c>
      <c r="F74" s="1674">
        <f t="shared" si="10"/>
        <v>69057</v>
      </c>
      <c r="G74" s="1674">
        <f t="shared" si="10"/>
        <v>0</v>
      </c>
      <c r="H74" s="1674">
        <f t="shared" si="10"/>
        <v>34346</v>
      </c>
      <c r="I74" s="1674">
        <f t="shared" si="10"/>
        <v>35091</v>
      </c>
      <c r="J74" s="1674">
        <f t="shared" si="10"/>
        <v>0</v>
      </c>
      <c r="K74" s="1674">
        <f t="shared" si="10"/>
        <v>3921739</v>
      </c>
      <c r="L74" s="1674">
        <f>SUM(L42,L47,L53,L57,L65,L72,L73)</f>
        <v>3920211</v>
      </c>
    </row>
    <row r="75" spans="1:14" s="259" customFormat="1" ht="15.75" customHeight="1" thickTop="1" thickBot="1" x14ac:dyDescent="0.25">
      <c r="A75" s="1607" t="s">
        <v>47</v>
      </c>
      <c r="B75" s="1608" t="s">
        <v>575</v>
      </c>
      <c r="C75" s="467">
        <v>34608</v>
      </c>
      <c r="D75" s="467">
        <v>4649</v>
      </c>
      <c r="E75" s="467">
        <v>0</v>
      </c>
      <c r="F75" s="467">
        <v>0</v>
      </c>
      <c r="G75" s="467">
        <v>0</v>
      </c>
      <c r="H75" s="467">
        <v>0</v>
      </c>
      <c r="I75" s="467">
        <v>0</v>
      </c>
      <c r="J75" s="467">
        <v>0</v>
      </c>
      <c r="K75" s="1667">
        <f>SUM(C75:J75)</f>
        <v>39257</v>
      </c>
      <c r="L75" s="573">
        <v>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0</v>
      </c>
      <c r="F78" s="613"/>
      <c r="G78" s="613"/>
      <c r="H78" s="631">
        <v>0</v>
      </c>
      <c r="I78" s="475"/>
      <c r="J78" s="475"/>
      <c r="K78" s="1668">
        <f t="shared" ref="K78:K83" si="11">SUM(C78:J78)</f>
        <v>0</v>
      </c>
      <c r="L78" s="479">
        <v>0</v>
      </c>
    </row>
    <row r="79" spans="1:14" x14ac:dyDescent="0.2">
      <c r="A79" s="1501" t="s">
        <v>304</v>
      </c>
      <c r="B79" s="611">
        <v>4120</v>
      </c>
      <c r="C79" s="613"/>
      <c r="D79" s="613"/>
      <c r="E79" s="466">
        <v>0</v>
      </c>
      <c r="F79" s="613"/>
      <c r="G79" s="613"/>
      <c r="H79" s="466">
        <v>0</v>
      </c>
      <c r="I79" s="475"/>
      <c r="J79" s="475"/>
      <c r="K79" s="1668">
        <f t="shared" si="11"/>
        <v>0</v>
      </c>
      <c r="L79" s="466">
        <v>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0</v>
      </c>
    </row>
    <row r="84" spans="1:12" ht="13.5" thickBot="1" x14ac:dyDescent="0.25">
      <c r="A84" s="1665" t="s">
        <v>1485</v>
      </c>
      <c r="B84" s="1675">
        <v>4100</v>
      </c>
      <c r="C84" s="613"/>
      <c r="D84" s="613"/>
      <c r="E84" s="1667">
        <f>SUM(E78:E83)</f>
        <v>0</v>
      </c>
      <c r="F84" s="613"/>
      <c r="G84" s="613"/>
      <c r="H84" s="1667">
        <f>SUM(H78:H83)</f>
        <v>0</v>
      </c>
      <c r="I84" s="475"/>
      <c r="J84" s="475"/>
      <c r="K84" s="1667">
        <f>SUM(K78:K83)</f>
        <v>0</v>
      </c>
      <c r="L84" s="1667">
        <f>SUM(L78:L83)</f>
        <v>0</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0</v>
      </c>
      <c r="I86" s="475"/>
      <c r="J86" s="475"/>
      <c r="K86" s="1674">
        <f t="shared" ref="K86:K98" si="12">H86</f>
        <v>0</v>
      </c>
      <c r="L86" s="527">
        <v>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0</v>
      </c>
      <c r="I92" s="475"/>
      <c r="J92" s="475"/>
      <c r="K92" s="1674">
        <f t="shared" si="12"/>
        <v>0</v>
      </c>
      <c r="L92" s="1667">
        <f>SUM(L85:L91)</f>
        <v>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0</v>
      </c>
      <c r="F102" s="613"/>
      <c r="G102" s="613"/>
      <c r="H102" s="1674">
        <f>SUM(H84,H92,H100,H101)</f>
        <v>0</v>
      </c>
      <c r="I102" s="475"/>
      <c r="J102" s="475"/>
      <c r="K102" s="1674">
        <f>SUM(K84,K92,K100,K101)</f>
        <v>0</v>
      </c>
      <c r="L102" s="1674">
        <f>SUM(L84,L92,L100,L101)</f>
        <v>0</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5878594</v>
      </c>
      <c r="D114" s="1667">
        <f t="shared" ref="D114:K114" si="13">SUM(D33,D74,D75,D102,D112,D113)</f>
        <v>1517572</v>
      </c>
      <c r="E114" s="1667">
        <f t="shared" si="13"/>
        <v>638827</v>
      </c>
      <c r="F114" s="1667">
        <f t="shared" si="13"/>
        <v>153831</v>
      </c>
      <c r="G114" s="1667">
        <f t="shared" si="13"/>
        <v>0</v>
      </c>
      <c r="H114" s="1667">
        <f>SUM(H33,H74,H75,H102,H112,H113)</f>
        <v>36217</v>
      </c>
      <c r="I114" s="1667">
        <f t="shared" si="13"/>
        <v>76728</v>
      </c>
      <c r="J114" s="1667">
        <f t="shared" si="13"/>
        <v>0</v>
      </c>
      <c r="K114" s="1667">
        <f t="shared" si="13"/>
        <v>8301769</v>
      </c>
      <c r="L114" s="1667">
        <f>SUM(L33,L74,L75,L102,L112,L113)</f>
        <v>8264925</v>
      </c>
    </row>
    <row r="115" spans="1:14" ht="13.5" thickTop="1" x14ac:dyDescent="0.2">
      <c r="A115" s="2255" t="s">
        <v>996</v>
      </c>
      <c r="B115" s="2256"/>
      <c r="C115" s="615"/>
      <c r="D115" s="615"/>
      <c r="E115" s="615"/>
      <c r="F115" s="615"/>
      <c r="G115" s="615"/>
      <c r="H115" s="615"/>
      <c r="I115" s="615"/>
      <c r="J115" s="615"/>
      <c r="K115" s="1681">
        <f>'Revenues 9-14'!C268-'Expenditures 15-22'!K114</f>
        <v>-945060</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260" t="s">
        <v>296</v>
      </c>
      <c r="B117" s="2261"/>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2057</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0</v>
      </c>
      <c r="D124" s="466">
        <v>0</v>
      </c>
      <c r="E124" s="466">
        <v>0</v>
      </c>
      <c r="F124" s="466">
        <v>0</v>
      </c>
      <c r="G124" s="466">
        <v>0</v>
      </c>
      <c r="H124" s="466">
        <v>0</v>
      </c>
      <c r="I124" s="467">
        <v>0</v>
      </c>
      <c r="J124" s="467">
        <v>0</v>
      </c>
      <c r="K124" s="1667">
        <f>SUM(C124:J124)</f>
        <v>0</v>
      </c>
      <c r="L124" s="466">
        <v>0</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0</v>
      </c>
      <c r="D127" s="1667">
        <f t="shared" ref="D127:L127" si="14">SUM(D122:D126)</f>
        <v>0</v>
      </c>
      <c r="E127" s="1667">
        <f t="shared" si="14"/>
        <v>0</v>
      </c>
      <c r="F127" s="1667">
        <f t="shared" si="14"/>
        <v>0</v>
      </c>
      <c r="G127" s="1667">
        <f t="shared" si="14"/>
        <v>0</v>
      </c>
      <c r="H127" s="1667">
        <f t="shared" si="14"/>
        <v>0</v>
      </c>
      <c r="I127" s="1667">
        <f t="shared" si="14"/>
        <v>0</v>
      </c>
      <c r="J127" s="1667">
        <f t="shared" si="14"/>
        <v>0</v>
      </c>
      <c r="K127" s="1667">
        <f t="shared" si="14"/>
        <v>0</v>
      </c>
      <c r="L127" s="1667">
        <f t="shared" si="14"/>
        <v>0</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0</v>
      </c>
      <c r="D129" s="1674">
        <f t="shared" ref="D129:L129" si="15">SUM(D120,D127,D128)</f>
        <v>0</v>
      </c>
      <c r="E129" s="1674">
        <f t="shared" si="15"/>
        <v>0</v>
      </c>
      <c r="F129" s="1674">
        <f t="shared" si="15"/>
        <v>0</v>
      </c>
      <c r="G129" s="1674">
        <f t="shared" si="15"/>
        <v>0</v>
      </c>
      <c r="H129" s="1674">
        <f t="shared" si="15"/>
        <v>0</v>
      </c>
      <c r="I129" s="1674">
        <f t="shared" si="15"/>
        <v>0</v>
      </c>
      <c r="J129" s="1674">
        <f t="shared" si="15"/>
        <v>0</v>
      </c>
      <c r="K129" s="1674">
        <f t="shared" si="15"/>
        <v>0</v>
      </c>
      <c r="L129" s="1674">
        <f t="shared" si="15"/>
        <v>0</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1842</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272" t="s">
        <v>620</v>
      </c>
      <c r="B151" s="2252"/>
      <c r="C151" s="1667">
        <f>SUM(C129,C130,C139,C149,C150)</f>
        <v>0</v>
      </c>
      <c r="D151" s="1667">
        <f t="shared" ref="D151:K151" si="16">SUM(D129,D130,D139,D149,D150)</f>
        <v>0</v>
      </c>
      <c r="E151" s="1667">
        <f t="shared" si="16"/>
        <v>0</v>
      </c>
      <c r="F151" s="1667">
        <f t="shared" si="16"/>
        <v>0</v>
      </c>
      <c r="G151" s="1667">
        <f t="shared" si="16"/>
        <v>0</v>
      </c>
      <c r="H151" s="1667">
        <f t="shared" si="16"/>
        <v>0</v>
      </c>
      <c r="I151" s="1667">
        <f t="shared" si="16"/>
        <v>0</v>
      </c>
      <c r="J151" s="1667">
        <f t="shared" si="16"/>
        <v>0</v>
      </c>
      <c r="K151" s="1667">
        <f t="shared" si="16"/>
        <v>0</v>
      </c>
      <c r="L151" s="1667">
        <f>SUM(L129,L130,L139,L149,L150)</f>
        <v>0</v>
      </c>
    </row>
    <row r="152" spans="1:14" ht="12.75" customHeight="1" thickTop="1" x14ac:dyDescent="0.2">
      <c r="A152" s="2275" t="s">
        <v>1178</v>
      </c>
      <c r="B152" s="2276"/>
      <c r="C152" s="615"/>
      <c r="D152" s="615"/>
      <c r="E152" s="615"/>
      <c r="F152" s="615"/>
      <c r="G152" s="615"/>
      <c r="H152" s="615"/>
      <c r="I152" s="615"/>
      <c r="J152" s="613"/>
      <c r="K152" s="1681">
        <f>'Revenues 9-14'!D268-'Expenditures 15-22'!K151</f>
        <v>0</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260" t="s">
        <v>621</v>
      </c>
      <c r="B154" s="2262"/>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1843</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1842</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1844</v>
      </c>
      <c r="C158" s="613"/>
      <c r="D158" s="613"/>
      <c r="E158" s="613"/>
      <c r="F158" s="613"/>
      <c r="G158" s="613"/>
      <c r="H158" s="467">
        <v>0</v>
      </c>
      <c r="I158" s="613"/>
      <c r="J158" s="613"/>
      <c r="K158" s="1668">
        <f>H158</f>
        <v>0</v>
      </c>
      <c r="L158" s="467">
        <v>0</v>
      </c>
      <c r="M158" s="616"/>
      <c r="N158" s="616"/>
    </row>
    <row r="159" spans="1:14" s="617" customFormat="1" ht="12" x14ac:dyDescent="0.2">
      <c r="A159" s="1823" t="s">
        <v>1845</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1846</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0</v>
      </c>
      <c r="I169" s="613"/>
      <c r="J169" s="613"/>
      <c r="K169" s="1668">
        <f>SUM(C169:H169)</f>
        <v>0</v>
      </c>
      <c r="L169" s="653">
        <v>0</v>
      </c>
    </row>
    <row r="170" spans="1:14" ht="33.75" customHeight="1" x14ac:dyDescent="0.2">
      <c r="A170" s="666" t="s">
        <v>1670</v>
      </c>
      <c r="B170" s="668" t="s">
        <v>31</v>
      </c>
      <c r="C170" s="613"/>
      <c r="D170" s="613"/>
      <c r="E170" s="613"/>
      <c r="F170" s="613"/>
      <c r="G170" s="613"/>
      <c r="H170" s="566">
        <v>0</v>
      </c>
      <c r="I170" s="613"/>
      <c r="J170" s="613"/>
      <c r="K170" s="1668">
        <f>SUM(C170:J170)</f>
        <v>0</v>
      </c>
      <c r="L170" s="566">
        <v>0</v>
      </c>
    </row>
    <row r="171" spans="1:14" ht="15.75" customHeight="1" x14ac:dyDescent="0.2">
      <c r="A171" s="618" t="s">
        <v>766</v>
      </c>
      <c r="B171" s="669" t="s">
        <v>84</v>
      </c>
      <c r="C171" s="613"/>
      <c r="D171" s="613"/>
      <c r="E171" s="466">
        <v>0</v>
      </c>
      <c r="F171" s="613"/>
      <c r="G171" s="613"/>
      <c r="H171" s="566">
        <v>0</v>
      </c>
      <c r="I171" s="475"/>
      <c r="J171" s="613"/>
      <c r="K171" s="1668">
        <f>SUM(C171:J171)</f>
        <v>0</v>
      </c>
      <c r="L171" s="566">
        <v>0</v>
      </c>
    </row>
    <row r="172" spans="1:14" ht="12.75" customHeight="1" thickBot="1" x14ac:dyDescent="0.25">
      <c r="A172" s="1665" t="s">
        <v>638</v>
      </c>
      <c r="B172" s="1666" t="s">
        <v>492</v>
      </c>
      <c r="C172" s="613"/>
      <c r="D172" s="613"/>
      <c r="E172" s="1674">
        <f>SUM(E168,E169,E170,E171)</f>
        <v>0</v>
      </c>
      <c r="F172" s="613"/>
      <c r="G172" s="613"/>
      <c r="H172" s="1674">
        <f>SUM(H168,H169,H170,H171)</f>
        <v>0</v>
      </c>
      <c r="I172" s="635"/>
      <c r="J172" s="613"/>
      <c r="K172" s="1674">
        <f>SUM(K168,K169,K170,K171)</f>
        <v>0</v>
      </c>
      <c r="L172" s="1674">
        <f>SUM(L168,L169,L170,L171)</f>
        <v>0</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0</v>
      </c>
      <c r="F174" s="613"/>
      <c r="G174" s="613"/>
      <c r="H174" s="1674">
        <f>SUM(H160,H172,H173)</f>
        <v>0</v>
      </c>
      <c r="I174" s="635"/>
      <c r="J174" s="613"/>
      <c r="K174" s="1674">
        <f>SUM(K160,K172,K173)</f>
        <v>0</v>
      </c>
      <c r="L174" s="1674">
        <f>SUM(L160,L172,L173)</f>
        <v>0</v>
      </c>
    </row>
    <row r="175" spans="1:14" ht="13.5" thickTop="1" x14ac:dyDescent="0.2">
      <c r="A175" s="2255" t="s">
        <v>996</v>
      </c>
      <c r="B175" s="2256"/>
      <c r="C175" s="613"/>
      <c r="D175" s="613"/>
      <c r="E175" s="613"/>
      <c r="F175" s="613"/>
      <c r="G175" s="613"/>
      <c r="H175" s="615"/>
      <c r="I175" s="613"/>
      <c r="J175" s="613"/>
      <c r="K175" s="1681">
        <f>'Revenues 9-14'!E268-'Expenditures 15-22'!K174</f>
        <v>0</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2057</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0</v>
      </c>
      <c r="D182" s="466">
        <v>0</v>
      </c>
      <c r="E182" s="466">
        <v>0</v>
      </c>
      <c r="F182" s="466">
        <v>0</v>
      </c>
      <c r="G182" s="466">
        <v>0</v>
      </c>
      <c r="H182" s="466">
        <v>0</v>
      </c>
      <c r="I182" s="467">
        <v>0</v>
      </c>
      <c r="J182" s="467">
        <v>0</v>
      </c>
      <c r="K182" s="1668">
        <f>SUM(C182:J182)</f>
        <v>0</v>
      </c>
      <c r="L182" s="466">
        <v>0</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0</v>
      </c>
      <c r="D184" s="1674">
        <f t="shared" ref="D184:J184" si="17">SUM(D180,D182,D183)</f>
        <v>0</v>
      </c>
      <c r="E184" s="1674">
        <f t="shared" si="17"/>
        <v>0</v>
      </c>
      <c r="F184" s="1674">
        <f t="shared" si="17"/>
        <v>0</v>
      </c>
      <c r="G184" s="1674">
        <f t="shared" si="17"/>
        <v>0</v>
      </c>
      <c r="H184" s="1674">
        <f t="shared" si="17"/>
        <v>0</v>
      </c>
      <c r="I184" s="1674">
        <f t="shared" si="17"/>
        <v>0</v>
      </c>
      <c r="J184" s="1674">
        <f t="shared" si="17"/>
        <v>0</v>
      </c>
      <c r="K184" s="1674">
        <f>SUM(K180,K182,K183)</f>
        <v>0</v>
      </c>
      <c r="L184" s="1674">
        <f>SUM(L180, L182:L183)</f>
        <v>0</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0</v>
      </c>
      <c r="D210" s="1667">
        <f>SUM(D184,D185)</f>
        <v>0</v>
      </c>
      <c r="E210" s="1667">
        <f>SUM(E184,E185,E196)</f>
        <v>0</v>
      </c>
      <c r="F210" s="1667">
        <f>SUM(F184,F185)</f>
        <v>0</v>
      </c>
      <c r="G210" s="1667">
        <f>SUM(G184,G185)</f>
        <v>0</v>
      </c>
      <c r="H210" s="1667">
        <f>SUM(H184,H185,H196,H208,H209)</f>
        <v>0</v>
      </c>
      <c r="I210" s="1667">
        <f>SUM(I184,I185)</f>
        <v>0</v>
      </c>
      <c r="J210" s="1667">
        <f>SUM(J184,J185)</f>
        <v>0</v>
      </c>
      <c r="K210" s="1668">
        <f>SUM(K184,K185,K196,K208,K209)</f>
        <v>0</v>
      </c>
      <c r="L210" s="1667">
        <f>SUM(L184,L185,L196,L208,L209)</f>
        <v>0</v>
      </c>
    </row>
    <row r="211" spans="1:14" ht="13.5" thickTop="1" x14ac:dyDescent="0.2">
      <c r="A211" s="2255" t="s">
        <v>996</v>
      </c>
      <c r="B211" s="2256"/>
      <c r="C211" s="615"/>
      <c r="D211" s="615"/>
      <c r="E211" s="615"/>
      <c r="F211" s="615"/>
      <c r="G211" s="615"/>
      <c r="H211" s="615"/>
      <c r="I211" s="613"/>
      <c r="J211" s="613"/>
      <c r="K211" s="1681">
        <f>'Revenues 9-14'!F268-'Expenditures 15-22'!K210</f>
        <v>0</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277" t="s">
        <v>965</v>
      </c>
      <c r="B213" s="2278"/>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0</v>
      </c>
      <c r="E215" s="613"/>
      <c r="F215" s="613"/>
      <c r="G215" s="613"/>
      <c r="H215" s="613"/>
      <c r="I215" s="613"/>
      <c r="J215" s="613"/>
      <c r="K215" s="1668">
        <f>D215</f>
        <v>0</v>
      </c>
      <c r="L215" s="466">
        <v>0</v>
      </c>
    </row>
    <row r="216" spans="1:14" x14ac:dyDescent="0.2">
      <c r="A216" s="1501" t="s">
        <v>163</v>
      </c>
      <c r="B216" s="611" t="s">
        <v>967</v>
      </c>
      <c r="C216" s="613"/>
      <c r="D216" s="467">
        <v>0</v>
      </c>
      <c r="E216" s="613"/>
      <c r="F216" s="613"/>
      <c r="G216" s="613"/>
      <c r="H216" s="613"/>
      <c r="I216" s="613"/>
      <c r="J216" s="613"/>
      <c r="K216" s="1668">
        <f t="shared" ref="K216:K228" si="19">D216</f>
        <v>0</v>
      </c>
      <c r="L216" s="466">
        <v>0</v>
      </c>
    </row>
    <row r="217" spans="1:14" x14ac:dyDescent="0.2">
      <c r="A217" s="1501" t="s">
        <v>164</v>
      </c>
      <c r="B217" s="611">
        <v>1200</v>
      </c>
      <c r="C217" s="613"/>
      <c r="D217" s="466">
        <v>0</v>
      </c>
      <c r="E217" s="613"/>
      <c r="F217" s="613"/>
      <c r="G217" s="613"/>
      <c r="H217" s="613"/>
      <c r="I217" s="613"/>
      <c r="J217" s="613"/>
      <c r="K217" s="1668">
        <f t="shared" si="19"/>
        <v>0</v>
      </c>
      <c r="L217" s="466">
        <v>0</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0</v>
      </c>
      <c r="E219" s="613"/>
      <c r="F219" s="613"/>
      <c r="G219" s="613"/>
      <c r="H219" s="613"/>
      <c r="I219" s="613"/>
      <c r="J219" s="613"/>
      <c r="K219" s="1668">
        <f t="shared" si="19"/>
        <v>0</v>
      </c>
      <c r="L219" s="466">
        <v>0</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0</v>
      </c>
      <c r="E222" s="613"/>
      <c r="F222" s="613"/>
      <c r="G222" s="613"/>
      <c r="H222" s="613"/>
      <c r="I222" s="613"/>
      <c r="J222" s="613"/>
      <c r="K222" s="1668">
        <f t="shared" si="19"/>
        <v>0</v>
      </c>
      <c r="L222" s="466">
        <v>0</v>
      </c>
    </row>
    <row r="223" spans="1:14" x14ac:dyDescent="0.2">
      <c r="A223" s="1501" t="s">
        <v>963</v>
      </c>
      <c r="B223" s="611">
        <v>1500</v>
      </c>
      <c r="C223" s="613"/>
      <c r="D223" s="466">
        <v>0</v>
      </c>
      <c r="E223" s="613"/>
      <c r="F223" s="613"/>
      <c r="G223" s="613"/>
      <c r="H223" s="613"/>
      <c r="I223" s="613"/>
      <c r="J223" s="613"/>
      <c r="K223" s="1668">
        <f t="shared" si="19"/>
        <v>0</v>
      </c>
      <c r="L223" s="466">
        <v>0</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0</v>
      </c>
      <c r="E226" s="613"/>
      <c r="F226" s="613"/>
      <c r="G226" s="613"/>
      <c r="H226" s="613"/>
      <c r="I226" s="613"/>
      <c r="J226" s="613"/>
      <c r="K226" s="1668">
        <f t="shared" si="19"/>
        <v>0</v>
      </c>
      <c r="L226" s="466">
        <v>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0</v>
      </c>
      <c r="E229" s="613"/>
      <c r="F229" s="613"/>
      <c r="G229" s="613"/>
      <c r="H229" s="613"/>
      <c r="I229" s="613"/>
      <c r="J229" s="613"/>
      <c r="K229" s="1667">
        <f>SUM(K215:K228)</f>
        <v>0</v>
      </c>
      <c r="L229" s="1667">
        <f>SUM(L215:L228)</f>
        <v>0</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0</v>
      </c>
      <c r="E232" s="613"/>
      <c r="F232" s="613"/>
      <c r="G232" s="613"/>
      <c r="H232" s="613"/>
      <c r="I232" s="613"/>
      <c r="J232" s="613"/>
      <c r="K232" s="1668">
        <f t="shared" ref="K232:K237" si="20">D232</f>
        <v>0</v>
      </c>
      <c r="L232" s="466">
        <v>0</v>
      </c>
    </row>
    <row r="233" spans="1:12" x14ac:dyDescent="0.2">
      <c r="A233" s="1501" t="s">
        <v>1090</v>
      </c>
      <c r="B233" s="611">
        <v>2120</v>
      </c>
      <c r="C233" s="613"/>
      <c r="D233" s="466">
        <v>0</v>
      </c>
      <c r="E233" s="613"/>
      <c r="F233" s="613"/>
      <c r="G233" s="613"/>
      <c r="H233" s="613"/>
      <c r="I233" s="613"/>
      <c r="J233" s="613"/>
      <c r="K233" s="1668">
        <f t="shared" si="20"/>
        <v>0</v>
      </c>
      <c r="L233" s="466">
        <v>0</v>
      </c>
    </row>
    <row r="234" spans="1:12" x14ac:dyDescent="0.2">
      <c r="A234" s="1501" t="s">
        <v>198</v>
      </c>
      <c r="B234" s="611">
        <v>2130</v>
      </c>
      <c r="C234" s="613"/>
      <c r="D234" s="466">
        <v>0</v>
      </c>
      <c r="E234" s="613"/>
      <c r="F234" s="613"/>
      <c r="G234" s="613"/>
      <c r="H234" s="613"/>
      <c r="I234" s="613"/>
      <c r="J234" s="613"/>
      <c r="K234" s="1668">
        <f t="shared" si="20"/>
        <v>0</v>
      </c>
      <c r="L234" s="466">
        <v>0</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0</v>
      </c>
      <c r="E236" s="613"/>
      <c r="F236" s="613"/>
      <c r="G236" s="613"/>
      <c r="H236" s="613"/>
      <c r="I236" s="613"/>
      <c r="J236" s="613"/>
      <c r="K236" s="1668">
        <f t="shared" si="20"/>
        <v>0</v>
      </c>
      <c r="L236" s="466">
        <v>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0</v>
      </c>
      <c r="E238" s="613"/>
      <c r="F238" s="613"/>
      <c r="G238" s="613"/>
      <c r="H238" s="613"/>
      <c r="I238" s="613"/>
      <c r="J238" s="613"/>
      <c r="K238" s="1667">
        <f>SUM(K232:K237)</f>
        <v>0</v>
      </c>
      <c r="L238" s="1667">
        <f>SUM(L232:L237)</f>
        <v>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0</v>
      </c>
      <c r="E240" s="613"/>
      <c r="F240" s="613"/>
      <c r="G240" s="613"/>
      <c r="H240" s="613"/>
      <c r="I240" s="613"/>
      <c r="J240" s="613"/>
      <c r="K240" s="1669">
        <f>D240</f>
        <v>0</v>
      </c>
      <c r="L240" s="479">
        <v>0</v>
      </c>
    </row>
    <row r="241" spans="1:12" x14ac:dyDescent="0.2">
      <c r="A241" s="1501" t="s">
        <v>815</v>
      </c>
      <c r="B241" s="611">
        <v>2220</v>
      </c>
      <c r="C241" s="613"/>
      <c r="D241" s="466">
        <v>0</v>
      </c>
      <c r="E241" s="613"/>
      <c r="F241" s="613"/>
      <c r="G241" s="613"/>
      <c r="H241" s="613"/>
      <c r="I241" s="613"/>
      <c r="J241" s="613"/>
      <c r="K241" s="1669">
        <f>D241</f>
        <v>0</v>
      </c>
      <c r="L241" s="466">
        <v>0</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0</v>
      </c>
      <c r="E243" s="613"/>
      <c r="F243" s="613"/>
      <c r="G243" s="613"/>
      <c r="H243" s="613"/>
      <c r="I243" s="613"/>
      <c r="J243" s="613"/>
      <c r="K243" s="1667">
        <f>SUM(K240:K242)</f>
        <v>0</v>
      </c>
      <c r="L243" s="1667">
        <f>SUM(L240:L242)</f>
        <v>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0</v>
      </c>
      <c r="E245" s="613"/>
      <c r="F245" s="613"/>
      <c r="G245" s="613"/>
      <c r="H245" s="613"/>
      <c r="I245" s="613"/>
      <c r="J245" s="613"/>
      <c r="K245" s="1669">
        <f>D245</f>
        <v>0</v>
      </c>
      <c r="L245" s="479">
        <v>0</v>
      </c>
    </row>
    <row r="246" spans="1:12" x14ac:dyDescent="0.2">
      <c r="A246" s="1501" t="s">
        <v>818</v>
      </c>
      <c r="B246" s="611">
        <v>2320</v>
      </c>
      <c r="C246" s="613"/>
      <c r="D246" s="466">
        <v>0</v>
      </c>
      <c r="E246" s="613"/>
      <c r="F246" s="613"/>
      <c r="G246" s="613"/>
      <c r="H246" s="613"/>
      <c r="I246" s="613"/>
      <c r="J246" s="613"/>
      <c r="K246" s="1669">
        <f t="shared" ref="K246:K256" si="21">D246</f>
        <v>0</v>
      </c>
      <c r="L246" s="466">
        <v>0</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1802</v>
      </c>
      <c r="B249" s="680" t="s">
        <v>282</v>
      </c>
      <c r="C249" s="613"/>
      <c r="D249" s="473">
        <v>0</v>
      </c>
      <c r="E249" s="613"/>
      <c r="F249" s="613"/>
      <c r="G249" s="613"/>
      <c r="H249" s="613"/>
      <c r="I249" s="613"/>
      <c r="J249" s="613"/>
      <c r="K249" s="1669">
        <f t="shared" si="21"/>
        <v>0</v>
      </c>
      <c r="L249" s="466">
        <v>0</v>
      </c>
    </row>
    <row r="250" spans="1:12" x14ac:dyDescent="0.2">
      <c r="A250" s="1502" t="s">
        <v>1803</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0</v>
      </c>
      <c r="E254" s="613"/>
      <c r="F254" s="613"/>
      <c r="G254" s="613"/>
      <c r="H254" s="613"/>
      <c r="I254" s="613"/>
      <c r="J254" s="613"/>
      <c r="K254" s="1669">
        <f t="shared" si="21"/>
        <v>0</v>
      </c>
      <c r="L254" s="466">
        <v>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0</v>
      </c>
      <c r="E257" s="613"/>
      <c r="F257" s="613"/>
      <c r="G257" s="613"/>
      <c r="H257" s="613"/>
      <c r="I257" s="613"/>
      <c r="J257" s="613"/>
      <c r="K257" s="1667">
        <f>SUM(K245:K256)</f>
        <v>0</v>
      </c>
      <c r="L257" s="1667">
        <f>SUM(L245:L256)</f>
        <v>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0</v>
      </c>
      <c r="E259" s="613"/>
      <c r="F259" s="613"/>
      <c r="G259" s="613"/>
      <c r="H259" s="613"/>
      <c r="I259" s="613"/>
      <c r="J259" s="613"/>
      <c r="K259" s="1669">
        <f>D259</f>
        <v>0</v>
      </c>
      <c r="L259" s="479">
        <v>0</v>
      </c>
    </row>
    <row r="260" spans="1:14" s="594" customFormat="1" x14ac:dyDescent="0.2">
      <c r="A260" s="1519" t="s">
        <v>1801</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0</v>
      </c>
      <c r="E261" s="613"/>
      <c r="F261" s="613"/>
      <c r="G261" s="613"/>
      <c r="H261" s="613"/>
      <c r="I261" s="613"/>
      <c r="J261" s="613"/>
      <c r="K261" s="1667">
        <f>SUM(K259:K260)</f>
        <v>0</v>
      </c>
      <c r="L261" s="1667">
        <f>SUM(L259:L260)</f>
        <v>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0</v>
      </c>
      <c r="E264" s="613"/>
      <c r="F264" s="613"/>
      <c r="G264" s="613"/>
      <c r="H264" s="613"/>
      <c r="I264" s="613"/>
      <c r="J264" s="613"/>
      <c r="K264" s="1669">
        <f t="shared" ref="K264:K269" si="22">D264</f>
        <v>0</v>
      </c>
      <c r="L264" s="466">
        <v>0</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0</v>
      </c>
      <c r="E266" s="613"/>
      <c r="F266" s="613"/>
      <c r="G266" s="613"/>
      <c r="H266" s="613"/>
      <c r="I266" s="613"/>
      <c r="J266" s="613"/>
      <c r="K266" s="1669">
        <f t="shared" si="22"/>
        <v>0</v>
      </c>
      <c r="L266" s="466">
        <v>0</v>
      </c>
    </row>
    <row r="267" spans="1:14" x14ac:dyDescent="0.2">
      <c r="A267" s="1501" t="s">
        <v>953</v>
      </c>
      <c r="B267" s="611">
        <v>2550</v>
      </c>
      <c r="C267" s="613"/>
      <c r="D267" s="466">
        <v>0</v>
      </c>
      <c r="E267" s="613"/>
      <c r="F267" s="613"/>
      <c r="G267" s="613"/>
      <c r="H267" s="613"/>
      <c r="I267" s="613"/>
      <c r="J267" s="613"/>
      <c r="K267" s="1669">
        <f t="shared" si="22"/>
        <v>0</v>
      </c>
      <c r="L267" s="466">
        <v>0</v>
      </c>
    </row>
    <row r="268" spans="1:14" x14ac:dyDescent="0.2">
      <c r="A268" s="1501" t="s">
        <v>100</v>
      </c>
      <c r="B268" s="611">
        <v>2560</v>
      </c>
      <c r="C268" s="613"/>
      <c r="D268" s="466">
        <v>0</v>
      </c>
      <c r="E268" s="613"/>
      <c r="F268" s="613"/>
      <c r="G268" s="613"/>
      <c r="H268" s="613"/>
      <c r="I268" s="613"/>
      <c r="J268" s="613"/>
      <c r="K268" s="1669">
        <f t="shared" si="22"/>
        <v>0</v>
      </c>
      <c r="L268" s="466">
        <v>0</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0</v>
      </c>
      <c r="E270" s="613"/>
      <c r="F270" s="613"/>
      <c r="G270" s="613"/>
      <c r="H270" s="613"/>
      <c r="I270" s="613"/>
      <c r="J270" s="613"/>
      <c r="K270" s="1667">
        <f>SUM(K263:K269)</f>
        <v>0</v>
      </c>
      <c r="L270" s="1667">
        <f>SUM(L263:L269)</f>
        <v>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0</v>
      </c>
      <c r="E279" s="613"/>
      <c r="F279" s="613"/>
      <c r="G279" s="613"/>
      <c r="H279" s="613"/>
      <c r="I279" s="613"/>
      <c r="J279" s="613"/>
      <c r="K279" s="1674">
        <f>SUM(K238,K243,K257,K261,K270,K277,K278)</f>
        <v>0</v>
      </c>
      <c r="L279" s="1674">
        <f>SUM(L238,L243,L257,L261,L270,L277,L278)</f>
        <v>0</v>
      </c>
    </row>
    <row r="280" spans="1:12" ht="15.75" customHeight="1" thickTop="1" thickBot="1" x14ac:dyDescent="0.25">
      <c r="A280" s="1621" t="s">
        <v>875</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1842</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273" t="s">
        <v>505</v>
      </c>
      <c r="B295" s="2274"/>
      <c r="C295" s="613"/>
      <c r="D295" s="1667">
        <f>SUM(D229,D279,D280,D285)</f>
        <v>0</v>
      </c>
      <c r="E295" s="613"/>
      <c r="F295" s="613"/>
      <c r="G295" s="613"/>
      <c r="H295" s="1667">
        <f>H293</f>
        <v>0</v>
      </c>
      <c r="I295" s="613"/>
      <c r="J295" s="613"/>
      <c r="K295" s="1667">
        <f>SUM(K229,K279,K280,K285,K293,K294)</f>
        <v>0</v>
      </c>
      <c r="L295" s="1667">
        <f>SUM(L229,L279,L280,L285,L293,L294)</f>
        <v>0</v>
      </c>
    </row>
    <row r="296" spans="1:14" ht="13.5" thickTop="1" x14ac:dyDescent="0.2">
      <c r="A296" s="2255" t="s">
        <v>996</v>
      </c>
      <c r="B296" s="2256"/>
      <c r="C296" s="613"/>
      <c r="D296" s="615"/>
      <c r="E296" s="613"/>
      <c r="F296" s="613"/>
      <c r="G296" s="613"/>
      <c r="H296" s="684"/>
      <c r="I296" s="613"/>
      <c r="J296" s="613"/>
      <c r="K296" s="1681">
        <f>'Revenues 9-14'!G268-'Expenditures 15-22'!K295</f>
        <v>0</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265" t="s">
        <v>143</v>
      </c>
      <c r="B298" s="2259"/>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0</v>
      </c>
      <c r="G301" s="466">
        <v>0</v>
      </c>
      <c r="H301" s="466">
        <v>0</v>
      </c>
      <c r="I301" s="467">
        <v>0</v>
      </c>
      <c r="J301" s="467">
        <v>0</v>
      </c>
      <c r="K301" s="1668">
        <f>SUM(C301:J301)</f>
        <v>0</v>
      </c>
      <c r="L301" s="467">
        <v>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1847</v>
      </c>
      <c r="B306" s="687" t="s">
        <v>1842</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270" t="s">
        <v>277</v>
      </c>
      <c r="B312" s="2271"/>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662"/>
      <c r="N312" s="662"/>
    </row>
    <row r="313" spans="1:14" ht="13.5" thickTop="1" x14ac:dyDescent="0.2">
      <c r="A313" s="2266" t="s">
        <v>996</v>
      </c>
      <c r="B313" s="2267"/>
      <c r="C313" s="623"/>
      <c r="D313" s="623"/>
      <c r="E313" s="623"/>
      <c r="F313" s="623"/>
      <c r="G313" s="623"/>
      <c r="H313" s="623"/>
      <c r="I313" s="623"/>
      <c r="J313" s="623"/>
      <c r="K313" s="1682">
        <f>'Revenues 9-14'!H268-'Expenditures 15-22'!K312</f>
        <v>0</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279" t="s">
        <v>149</v>
      </c>
      <c r="B315" s="2280"/>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81" t="s">
        <v>898</v>
      </c>
      <c r="B317" s="2280"/>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1802</v>
      </c>
      <c r="B320" s="695" t="s">
        <v>282</v>
      </c>
      <c r="C320" s="467">
        <v>0</v>
      </c>
      <c r="D320" s="467">
        <v>0</v>
      </c>
      <c r="E320" s="467">
        <v>20357</v>
      </c>
      <c r="F320" s="467">
        <v>0</v>
      </c>
      <c r="G320" s="467">
        <v>0</v>
      </c>
      <c r="H320" s="467">
        <v>0</v>
      </c>
      <c r="I320" s="467">
        <v>0</v>
      </c>
      <c r="J320" s="467">
        <v>0</v>
      </c>
      <c r="K320" s="1668">
        <f t="shared" ref="K320:K327" si="24">SUM(C320:J320)</f>
        <v>20357</v>
      </c>
      <c r="L320" s="467">
        <v>20400</v>
      </c>
      <c r="M320" s="662"/>
      <c r="N320" s="662"/>
    </row>
    <row r="321" spans="1:14" s="671" customFormat="1" x14ac:dyDescent="0.2">
      <c r="A321" s="1516" t="s">
        <v>300</v>
      </c>
      <c r="B321" s="694" t="s">
        <v>283</v>
      </c>
      <c r="C321" s="467">
        <v>0</v>
      </c>
      <c r="D321" s="467">
        <v>0</v>
      </c>
      <c r="E321" s="467">
        <v>5922</v>
      </c>
      <c r="F321" s="467">
        <v>0</v>
      </c>
      <c r="G321" s="467">
        <v>0</v>
      </c>
      <c r="H321" s="467">
        <v>0</v>
      </c>
      <c r="I321" s="467">
        <v>0</v>
      </c>
      <c r="J321" s="467">
        <v>0</v>
      </c>
      <c r="K321" s="1668">
        <f t="shared" si="24"/>
        <v>5922</v>
      </c>
      <c r="L321" s="467">
        <v>6000</v>
      </c>
      <c r="M321" s="662"/>
      <c r="N321" s="662"/>
    </row>
    <row r="322" spans="1:14" s="671" customFormat="1" x14ac:dyDescent="0.2">
      <c r="A322" s="1516" t="s">
        <v>238</v>
      </c>
      <c r="B322" s="694" t="s">
        <v>284</v>
      </c>
      <c r="C322" s="467">
        <v>0</v>
      </c>
      <c r="D322" s="467">
        <v>0</v>
      </c>
      <c r="E322" s="467">
        <v>9032</v>
      </c>
      <c r="F322" s="467">
        <v>0</v>
      </c>
      <c r="G322" s="467">
        <v>0</v>
      </c>
      <c r="H322" s="467">
        <v>0</v>
      </c>
      <c r="I322" s="467">
        <v>0</v>
      </c>
      <c r="J322" s="467">
        <v>0</v>
      </c>
      <c r="K322" s="1668">
        <f t="shared" si="24"/>
        <v>9032</v>
      </c>
      <c r="L322" s="467">
        <v>10000</v>
      </c>
      <c r="M322" s="662"/>
      <c r="N322" s="662"/>
    </row>
    <row r="323" spans="1:14" s="671" customFormat="1" x14ac:dyDescent="0.2">
      <c r="A323" s="1516" t="s">
        <v>702</v>
      </c>
      <c r="B323" s="694" t="s">
        <v>285</v>
      </c>
      <c r="C323" s="467">
        <v>0</v>
      </c>
      <c r="D323" s="467">
        <v>0</v>
      </c>
      <c r="E323" s="467">
        <v>0</v>
      </c>
      <c r="F323" s="467">
        <v>0</v>
      </c>
      <c r="G323" s="467">
        <v>0</v>
      </c>
      <c r="H323" s="467">
        <v>0</v>
      </c>
      <c r="I323" s="467">
        <v>0</v>
      </c>
      <c r="J323" s="467">
        <v>0</v>
      </c>
      <c r="K323" s="1668">
        <f t="shared" si="24"/>
        <v>0</v>
      </c>
      <c r="L323" s="467">
        <v>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0</v>
      </c>
      <c r="D325" s="467">
        <v>0</v>
      </c>
      <c r="E325" s="467">
        <v>18362</v>
      </c>
      <c r="F325" s="467">
        <v>0</v>
      </c>
      <c r="G325" s="467">
        <v>0</v>
      </c>
      <c r="H325" s="467">
        <v>0</v>
      </c>
      <c r="I325" s="467">
        <v>0</v>
      </c>
      <c r="J325" s="467">
        <v>0</v>
      </c>
      <c r="K325" s="1668">
        <f t="shared" si="24"/>
        <v>18362</v>
      </c>
      <c r="L325" s="467">
        <v>16000</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8800</v>
      </c>
      <c r="F327" s="467">
        <v>0</v>
      </c>
      <c r="G327" s="467">
        <v>0</v>
      </c>
      <c r="H327" s="467">
        <v>0</v>
      </c>
      <c r="I327" s="467">
        <v>0</v>
      </c>
      <c r="J327" s="467">
        <v>0</v>
      </c>
      <c r="K327" s="1668">
        <f t="shared" si="24"/>
        <v>8800</v>
      </c>
      <c r="L327" s="467">
        <v>10000</v>
      </c>
      <c r="M327" s="662"/>
      <c r="N327" s="662"/>
    </row>
    <row r="328" spans="1:14" s="671" customFormat="1" x14ac:dyDescent="0.2">
      <c r="A328" s="1517" t="s">
        <v>472</v>
      </c>
      <c r="B328" s="687" t="s">
        <v>1132</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0</v>
      </c>
      <c r="D330" s="1667">
        <f t="shared" ref="D330:J330" si="25">SUM(D319:D329)</f>
        <v>0</v>
      </c>
      <c r="E330" s="1667">
        <f t="shared" si="25"/>
        <v>62473</v>
      </c>
      <c r="F330" s="1667">
        <f t="shared" si="25"/>
        <v>0</v>
      </c>
      <c r="G330" s="1667">
        <f t="shared" si="25"/>
        <v>0</v>
      </c>
      <c r="H330" s="1667">
        <f t="shared" si="25"/>
        <v>0</v>
      </c>
      <c r="I330" s="1667">
        <f t="shared" si="25"/>
        <v>0</v>
      </c>
      <c r="J330" s="1667">
        <f t="shared" si="25"/>
        <v>0</v>
      </c>
      <c r="K330" s="1667">
        <f>SUM(K319:K329)</f>
        <v>62473</v>
      </c>
      <c r="L330" s="1667">
        <f>SUM(L319:L329)</f>
        <v>62400</v>
      </c>
      <c r="M330" s="662"/>
      <c r="N330" s="662"/>
    </row>
    <row r="331" spans="1:14" s="671" customFormat="1" ht="12.75" customHeight="1" thickTop="1" x14ac:dyDescent="0.2">
      <c r="A331" s="1828" t="s">
        <v>1848</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1842</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1844</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1849</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0</v>
      </c>
      <c r="D342" s="1667">
        <f>SUM(D330)</f>
        <v>0</v>
      </c>
      <c r="E342" s="1667">
        <f>SUM(E330)</f>
        <v>62473</v>
      </c>
      <c r="F342" s="1667">
        <f>SUM(F330)</f>
        <v>0</v>
      </c>
      <c r="G342" s="1667">
        <f>SUM(G330)</f>
        <v>0</v>
      </c>
      <c r="H342" s="1667">
        <f>SUM(H330,H334,H340)</f>
        <v>0</v>
      </c>
      <c r="I342" s="1667">
        <f>SUM(I330)</f>
        <v>0</v>
      </c>
      <c r="J342" s="1667">
        <f>SUM(J330)</f>
        <v>0</v>
      </c>
      <c r="K342" s="1667">
        <f>SUM(K330,K334,K340)</f>
        <v>62473</v>
      </c>
      <c r="L342" s="1674">
        <f>SUM(L330,L340,L341)</f>
        <v>62400</v>
      </c>
    </row>
    <row r="343" spans="1:14" ht="12.75" customHeight="1" thickTop="1" x14ac:dyDescent="0.2">
      <c r="A343" s="2268" t="s">
        <v>996</v>
      </c>
      <c r="B343" s="2269"/>
      <c r="C343" s="613"/>
      <c r="D343" s="613"/>
      <c r="E343" s="613"/>
      <c r="F343" s="613"/>
      <c r="G343" s="613"/>
      <c r="H343" s="613"/>
      <c r="I343" s="613"/>
      <c r="J343" s="613"/>
      <c r="K343" s="1681">
        <f>'Revenues 9-14'!J268-'Expenditures 15-22'!K342</f>
        <v>-3743</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258" t="s">
        <v>966</v>
      </c>
      <c r="B345" s="2259"/>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0</v>
      </c>
      <c r="H348" s="466">
        <v>0</v>
      </c>
      <c r="I348" s="467">
        <v>0</v>
      </c>
      <c r="J348" s="467">
        <v>0</v>
      </c>
      <c r="K348" s="1668">
        <f>SUM(C348:J348)</f>
        <v>0</v>
      </c>
      <c r="L348" s="466">
        <v>0</v>
      </c>
    </row>
    <row r="349" spans="1:14" x14ac:dyDescent="0.2">
      <c r="A349" s="1501" t="s">
        <v>197</v>
      </c>
      <c r="B349" s="611">
        <v>2540</v>
      </c>
      <c r="C349" s="466">
        <v>0</v>
      </c>
      <c r="D349" s="466">
        <v>0</v>
      </c>
      <c r="E349" s="466">
        <v>0</v>
      </c>
      <c r="F349" s="466">
        <v>0</v>
      </c>
      <c r="G349" s="466">
        <v>0</v>
      </c>
      <c r="H349" s="466">
        <v>0</v>
      </c>
      <c r="I349" s="467">
        <v>0</v>
      </c>
      <c r="J349" s="467">
        <v>0</v>
      </c>
      <c r="K349" s="1668">
        <f>SUM(C349:J349)</f>
        <v>0</v>
      </c>
      <c r="L349" s="466">
        <v>0</v>
      </c>
    </row>
    <row r="350" spans="1:14" ht="12.75" customHeight="1" thickBot="1" x14ac:dyDescent="0.25">
      <c r="A350" s="1665" t="s">
        <v>719</v>
      </c>
      <c r="B350" s="1666"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1850</v>
      </c>
      <c r="B354" s="680" t="s">
        <v>1842</v>
      </c>
      <c r="C354" s="613"/>
      <c r="D354" s="613"/>
      <c r="E354" s="613"/>
      <c r="F354" s="613"/>
      <c r="G354" s="613"/>
      <c r="H354" s="473">
        <v>0</v>
      </c>
      <c r="I354" s="698"/>
      <c r="J354" s="613"/>
      <c r="K354" s="1696">
        <f>H354</f>
        <v>0</v>
      </c>
      <c r="L354" s="471">
        <v>0</v>
      </c>
    </row>
    <row r="355" spans="1:14" ht="12.75" customHeight="1" x14ac:dyDescent="0.2">
      <c r="A355" s="1510" t="s">
        <v>1851</v>
      </c>
      <c r="B355" s="687" t="s">
        <v>1844</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0</v>
      </c>
    </row>
    <row r="368" spans="1:14" ht="13.5" thickTop="1" x14ac:dyDescent="0.2">
      <c r="A368" s="2255" t="s">
        <v>996</v>
      </c>
      <c r="B368" s="2256"/>
      <c r="C368" s="651"/>
      <c r="D368" s="651"/>
      <c r="E368" s="623"/>
      <c r="F368" s="623"/>
      <c r="G368" s="623"/>
      <c r="H368" s="623"/>
      <c r="I368" s="623"/>
      <c r="J368" s="620"/>
      <c r="K368" s="1668">
        <f>'Revenues 9-14'!K268-'Expenditures 15-22'!K367</f>
        <v>0</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8" t="s">
        <v>104</v>
      </c>
    </row>
    <row r="2" spans="1:6" ht="39.75" customHeight="1" x14ac:dyDescent="0.2">
      <c r="A2" s="2282" t="s">
        <v>1799</v>
      </c>
      <c r="B2" s="1525" t="s">
        <v>1948</v>
      </c>
      <c r="C2" s="711" t="s">
        <v>1949</v>
      </c>
      <c r="D2" s="711" t="s">
        <v>1950</v>
      </c>
      <c r="E2" s="711" t="s">
        <v>1951</v>
      </c>
      <c r="F2" s="711" t="s">
        <v>1952</v>
      </c>
    </row>
    <row r="3" spans="1:6" ht="12" customHeight="1" x14ac:dyDescent="0.2">
      <c r="A3" s="2283"/>
      <c r="B3" s="1522"/>
      <c r="C3" s="1523"/>
      <c r="D3" s="1524" t="s">
        <v>256</v>
      </c>
      <c r="E3" s="1523"/>
      <c r="F3" s="1524" t="s">
        <v>257</v>
      </c>
    </row>
    <row r="4" spans="1:6" ht="13.7" customHeight="1" x14ac:dyDescent="0.2">
      <c r="A4" s="712" t="s">
        <v>1155</v>
      </c>
      <c r="B4" s="1746">
        <f>'Revenues 9-14'!C5</f>
        <v>0</v>
      </c>
      <c r="C4" s="1521"/>
      <c r="D4" s="1749">
        <f>B4-C4</f>
        <v>0</v>
      </c>
      <c r="E4" s="1521"/>
      <c r="F4" s="1749">
        <f>E4-C4</f>
        <v>0</v>
      </c>
    </row>
    <row r="5" spans="1:6" ht="13.7" customHeight="1" x14ac:dyDescent="0.2">
      <c r="A5" s="712" t="s">
        <v>870</v>
      </c>
      <c r="B5" s="1747">
        <f>'Revenues 9-14'!D5</f>
        <v>0</v>
      </c>
      <c r="C5" s="582"/>
      <c r="D5" s="1750">
        <f t="shared" ref="D5:D18" si="0">B5-C5</f>
        <v>0</v>
      </c>
      <c r="E5" s="582"/>
      <c r="F5" s="1750">
        <f>E5-C5</f>
        <v>0</v>
      </c>
    </row>
    <row r="6" spans="1:6" ht="13.7" customHeight="1" x14ac:dyDescent="0.2">
      <c r="A6" s="712" t="s">
        <v>411</v>
      </c>
      <c r="B6" s="1747">
        <f>'Revenues 9-14'!E5</f>
        <v>0</v>
      </c>
      <c r="C6" s="582"/>
      <c r="D6" s="1750">
        <f t="shared" si="0"/>
        <v>0</v>
      </c>
      <c r="E6" s="582"/>
      <c r="F6" s="1750">
        <f t="shared" ref="F6:F18" si="1">E6-C6</f>
        <v>0</v>
      </c>
    </row>
    <row r="7" spans="1:6" ht="13.7" customHeight="1" x14ac:dyDescent="0.2">
      <c r="A7" s="712" t="s">
        <v>155</v>
      </c>
      <c r="B7" s="1747">
        <f>'Revenues 9-14'!F5</f>
        <v>0</v>
      </c>
      <c r="C7" s="582"/>
      <c r="D7" s="1750">
        <f t="shared" si="0"/>
        <v>0</v>
      </c>
      <c r="E7" s="582"/>
      <c r="F7" s="1750">
        <f t="shared" si="1"/>
        <v>0</v>
      </c>
    </row>
    <row r="8" spans="1:6" ht="13.7" customHeight="1" x14ac:dyDescent="0.2">
      <c r="A8" s="712" t="s">
        <v>1179</v>
      </c>
      <c r="B8" s="1747">
        <f>'Revenues 9-14'!G5</f>
        <v>0</v>
      </c>
      <c r="C8" s="582"/>
      <c r="D8" s="1750">
        <f t="shared" si="0"/>
        <v>0</v>
      </c>
      <c r="E8" s="582"/>
      <c r="F8" s="1750">
        <f t="shared" si="1"/>
        <v>0</v>
      </c>
    </row>
    <row r="9" spans="1:6" ht="13.7" customHeight="1" x14ac:dyDescent="0.2">
      <c r="A9" s="712" t="s">
        <v>408</v>
      </c>
      <c r="B9" s="1747">
        <f>'Revenues 9-14'!H5</f>
        <v>0</v>
      </c>
      <c r="C9" s="582"/>
      <c r="D9" s="1750">
        <f t="shared" si="0"/>
        <v>0</v>
      </c>
      <c r="E9" s="582"/>
      <c r="F9" s="1750">
        <f t="shared" si="1"/>
        <v>0</v>
      </c>
    </row>
    <row r="10" spans="1:6" ht="13.7" customHeight="1" x14ac:dyDescent="0.2">
      <c r="A10" s="712" t="s">
        <v>407</v>
      </c>
      <c r="B10" s="1747">
        <f>'Revenues 9-14'!I5</f>
        <v>0</v>
      </c>
      <c r="C10" s="582"/>
      <c r="D10" s="1750">
        <f t="shared" si="0"/>
        <v>0</v>
      </c>
      <c r="E10" s="582"/>
      <c r="F10" s="1750">
        <f t="shared" si="1"/>
        <v>0</v>
      </c>
    </row>
    <row r="11" spans="1:6" x14ac:dyDescent="0.2">
      <c r="A11" s="712" t="s">
        <v>409</v>
      </c>
      <c r="B11" s="1747">
        <f>'Revenues 9-14'!J5</f>
        <v>0</v>
      </c>
      <c r="C11" s="582"/>
      <c r="D11" s="1750">
        <f t="shared" si="0"/>
        <v>0</v>
      </c>
      <c r="E11" s="582"/>
      <c r="F11" s="1750">
        <f t="shared" si="1"/>
        <v>0</v>
      </c>
    </row>
    <row r="12" spans="1:6" ht="13.7" customHeight="1" x14ac:dyDescent="0.2">
      <c r="A12" s="712" t="s">
        <v>157</v>
      </c>
      <c r="B12" s="1747">
        <f>'Revenues 9-14'!K5</f>
        <v>0</v>
      </c>
      <c r="C12" s="582"/>
      <c r="D12" s="1750">
        <f t="shared" si="0"/>
        <v>0</v>
      </c>
      <c r="E12" s="582"/>
      <c r="F12" s="1750">
        <f t="shared" si="1"/>
        <v>0</v>
      </c>
    </row>
    <row r="13" spans="1:6" ht="13.7" customHeight="1" x14ac:dyDescent="0.2">
      <c r="A13" s="712" t="s">
        <v>936</v>
      </c>
      <c r="B13" s="1747">
        <f>SUM('Revenues 9-14'!C6:D6)</f>
        <v>0</v>
      </c>
      <c r="C13" s="582"/>
      <c r="D13" s="1750">
        <f t="shared" si="0"/>
        <v>0</v>
      </c>
      <c r="E13" s="582"/>
      <c r="F13" s="1750">
        <f t="shared" si="1"/>
        <v>0</v>
      </c>
    </row>
    <row r="14" spans="1:6" ht="13.7" customHeight="1" x14ac:dyDescent="0.2">
      <c r="A14" s="712" t="s">
        <v>410</v>
      </c>
      <c r="B14" s="1747">
        <f>SUM('Revenues 9-14'!C7:D7,'Revenues 9-14'!F7:H7)</f>
        <v>0</v>
      </c>
      <c r="C14" s="582"/>
      <c r="D14" s="1750">
        <f t="shared" si="0"/>
        <v>0</v>
      </c>
      <c r="E14" s="582"/>
      <c r="F14" s="1750">
        <f t="shared" si="1"/>
        <v>0</v>
      </c>
    </row>
    <row r="15" spans="1:6" ht="13.7" customHeight="1" x14ac:dyDescent="0.2">
      <c r="A15" s="712" t="s">
        <v>1158</v>
      </c>
      <c r="B15" s="1747">
        <f>SUM('Revenues 9-14'!D9:E9,'Revenues 9-14'!H9)</f>
        <v>0</v>
      </c>
      <c r="C15" s="582"/>
      <c r="D15" s="1750">
        <f t="shared" si="0"/>
        <v>0</v>
      </c>
      <c r="E15" s="582"/>
      <c r="F15" s="1750">
        <f t="shared" si="1"/>
        <v>0</v>
      </c>
    </row>
    <row r="16" spans="1:6" ht="13.7" customHeight="1" x14ac:dyDescent="0.2">
      <c r="A16" s="712" t="s">
        <v>1159</v>
      </c>
      <c r="B16" s="1747">
        <f>'Revenues 9-14'!G8</f>
        <v>0</v>
      </c>
      <c r="C16" s="582"/>
      <c r="D16" s="1750">
        <f t="shared" si="0"/>
        <v>0</v>
      </c>
      <c r="E16" s="582"/>
      <c r="F16" s="1750">
        <f t="shared" si="1"/>
        <v>0</v>
      </c>
    </row>
    <row r="17" spans="1:6" ht="13.7" customHeight="1" x14ac:dyDescent="0.2">
      <c r="A17" s="712" t="s">
        <v>1160</v>
      </c>
      <c r="B17" s="1747">
        <f>'Revenues 9-14'!C10</f>
        <v>0</v>
      </c>
      <c r="C17" s="582"/>
      <c r="D17" s="1750">
        <f t="shared" si="0"/>
        <v>0</v>
      </c>
      <c r="E17" s="582"/>
      <c r="F17" s="1750">
        <f t="shared" si="1"/>
        <v>0</v>
      </c>
    </row>
    <row r="18" spans="1:6" ht="13.7" customHeight="1" x14ac:dyDescent="0.2">
      <c r="A18" s="712" t="s">
        <v>762</v>
      </c>
      <c r="B18" s="1747">
        <f>SUM('Revenues 9-14'!C11:K11)</f>
        <v>0</v>
      </c>
      <c r="C18" s="582"/>
      <c r="D18" s="1750">
        <f t="shared" si="0"/>
        <v>0</v>
      </c>
      <c r="E18" s="582"/>
      <c r="F18" s="1750">
        <f t="shared" si="1"/>
        <v>0</v>
      </c>
    </row>
    <row r="19" spans="1:6" ht="13.7" customHeight="1" thickBot="1" x14ac:dyDescent="0.25">
      <c r="A19" s="1751" t="s">
        <v>1161</v>
      </c>
      <c r="B19" s="1748">
        <f>SUM(B4:B18)</f>
        <v>0</v>
      </c>
      <c r="C19" s="1748">
        <f>SUM(C4:C18)</f>
        <v>0</v>
      </c>
      <c r="D19" s="1748">
        <f>SUM(D4:D18)</f>
        <v>0</v>
      </c>
      <c r="E19" s="1748">
        <f>SUM(E4:E18)</f>
        <v>0</v>
      </c>
      <c r="F19" s="1748">
        <f>SUM(F4:F18)</f>
        <v>0</v>
      </c>
    </row>
    <row r="20" spans="1:6" ht="13.5" thickTop="1" x14ac:dyDescent="0.2">
      <c r="B20" s="710"/>
      <c r="F20" s="713"/>
    </row>
    <row r="21" spans="1:6" x14ac:dyDescent="0.2">
      <c r="A21" s="714" t="s">
        <v>1805</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04" t="s">
        <v>629</v>
      </c>
      <c r="B1" s="2302"/>
      <c r="C1" s="718"/>
    </row>
    <row r="2" spans="1:7" ht="33.75" x14ac:dyDescent="0.2">
      <c r="A2" s="2309" t="s">
        <v>1799</v>
      </c>
      <c r="B2" s="2310"/>
      <c r="C2" s="1879" t="s">
        <v>1953</v>
      </c>
      <c r="D2" s="720" t="s">
        <v>1954</v>
      </c>
      <c r="E2" s="720" t="s">
        <v>1955</v>
      </c>
      <c r="F2" s="1879" t="s">
        <v>1956</v>
      </c>
    </row>
    <row r="3" spans="1:7" ht="15.75" customHeight="1" x14ac:dyDescent="0.2">
      <c r="A3" s="2311" t="s">
        <v>1114</v>
      </c>
      <c r="B3" s="2312"/>
      <c r="C3" s="2305"/>
      <c r="D3" s="2306"/>
      <c r="E3" s="2306"/>
      <c r="F3" s="2307"/>
    </row>
    <row r="4" spans="1:7" ht="12.75" customHeight="1" thickBot="1" x14ac:dyDescent="0.25">
      <c r="A4" s="2299" t="s">
        <v>630</v>
      </c>
      <c r="B4" s="2300"/>
      <c r="C4" s="578"/>
      <c r="D4" s="578"/>
      <c r="E4" s="578"/>
      <c r="F4" s="1752">
        <f>SUM(C4+D4)-E4</f>
        <v>0</v>
      </c>
    </row>
    <row r="5" spans="1:7" ht="15.75" customHeight="1" thickTop="1" x14ac:dyDescent="0.2">
      <c r="A5" s="2303" t="s">
        <v>1110</v>
      </c>
      <c r="B5" s="2298"/>
      <c r="C5" s="2292"/>
      <c r="D5" s="2293"/>
      <c r="E5" s="2293"/>
      <c r="F5" s="2294"/>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295" t="s">
        <v>631</v>
      </c>
      <c r="B15" s="2296"/>
      <c r="C15" s="1752">
        <f>SUM(C6:C14)</f>
        <v>0</v>
      </c>
      <c r="D15" s="1752">
        <f>SUM(D6:D14)</f>
        <v>0</v>
      </c>
      <c r="E15" s="1752">
        <f>SUM(E6:E14)</f>
        <v>0</v>
      </c>
      <c r="F15" s="1752">
        <f>SUM(F6:F14)</f>
        <v>0</v>
      </c>
      <c r="G15" s="549"/>
    </row>
    <row r="16" spans="1:7" s="202" customFormat="1" ht="15.75" customHeight="1" thickTop="1" x14ac:dyDescent="0.2">
      <c r="A16" s="2308" t="s">
        <v>1111</v>
      </c>
      <c r="B16" s="2298"/>
      <c r="C16" s="2292"/>
      <c r="D16" s="2293"/>
      <c r="E16" s="2293"/>
      <c r="F16" s="2294"/>
    </row>
    <row r="17" spans="1:11" ht="12.75" customHeight="1" thickBot="1" x14ac:dyDescent="0.25">
      <c r="A17" s="2290" t="s">
        <v>64</v>
      </c>
      <c r="B17" s="2291"/>
      <c r="C17" s="723"/>
      <c r="D17" s="582"/>
      <c r="E17" s="723"/>
      <c r="F17" s="1752">
        <f>SUM(C17+D17)-E17</f>
        <v>0</v>
      </c>
    </row>
    <row r="18" spans="1:11" ht="12.75" customHeight="1" thickTop="1" thickBot="1" x14ac:dyDescent="0.25">
      <c r="A18" s="2290" t="s">
        <v>6</v>
      </c>
      <c r="B18" s="2291"/>
      <c r="C18" s="723"/>
      <c r="D18" s="582"/>
      <c r="E18" s="723"/>
      <c r="F18" s="1752">
        <f>SUM(C18+D18)-E18</f>
        <v>0</v>
      </c>
    </row>
    <row r="19" spans="1:11" ht="12.75" customHeight="1" thickTop="1" thickBot="1" x14ac:dyDescent="0.25">
      <c r="A19" s="2290" t="s">
        <v>388</v>
      </c>
      <c r="B19" s="2291"/>
      <c r="C19" s="723"/>
      <c r="D19" s="582"/>
      <c r="E19" s="723"/>
      <c r="F19" s="1752">
        <f>SUM(C19+D19)-E19</f>
        <v>0</v>
      </c>
    </row>
    <row r="20" spans="1:11" ht="12.75" customHeight="1" thickTop="1" thickBot="1" x14ac:dyDescent="0.25">
      <c r="A20" s="2290" t="s">
        <v>448</v>
      </c>
      <c r="B20" s="2291"/>
      <c r="C20" s="723"/>
      <c r="D20" s="582"/>
      <c r="E20" s="723"/>
      <c r="F20" s="1752">
        <f>SUM(C20+D20)-E20</f>
        <v>0</v>
      </c>
    </row>
    <row r="21" spans="1:11" ht="14.25" thickTop="1" thickBot="1" x14ac:dyDescent="0.25">
      <c r="A21" s="2295" t="s">
        <v>632</v>
      </c>
      <c r="B21" s="2296"/>
      <c r="C21" s="1752">
        <f>SUM(C17:C20)</f>
        <v>0</v>
      </c>
      <c r="D21" s="1752">
        <f>SUM(D17:D20)</f>
        <v>0</v>
      </c>
      <c r="E21" s="1752">
        <f>SUM(E17:E20)</f>
        <v>0</v>
      </c>
      <c r="F21" s="1752">
        <f>SUM(F17:F20)</f>
        <v>0</v>
      </c>
      <c r="G21" s="549"/>
    </row>
    <row r="22" spans="1:11" ht="15.75" customHeight="1" thickTop="1" x14ac:dyDescent="0.2">
      <c r="A22" s="2297" t="s">
        <v>1112</v>
      </c>
      <c r="B22" s="2298"/>
      <c r="C22" s="2292"/>
      <c r="D22" s="2293"/>
      <c r="E22" s="2293"/>
      <c r="F22" s="2294"/>
    </row>
    <row r="23" spans="1:11" ht="13.5" thickBot="1" x14ac:dyDescent="0.25">
      <c r="A23" s="2299" t="s">
        <v>633</v>
      </c>
      <c r="B23" s="2300"/>
      <c r="C23" s="578"/>
      <c r="D23" s="578"/>
      <c r="E23" s="578"/>
      <c r="F23" s="1752">
        <f>SUM(C23+D23)-E23</f>
        <v>0</v>
      </c>
      <c r="G23" s="549"/>
    </row>
    <row r="24" spans="1:11" ht="15.75" customHeight="1" thickTop="1" x14ac:dyDescent="0.2">
      <c r="A24" s="2297" t="s">
        <v>1113</v>
      </c>
      <c r="B24" s="2298"/>
      <c r="C24" s="2292"/>
      <c r="D24" s="2293"/>
      <c r="E24" s="2293"/>
      <c r="F24" s="2294"/>
    </row>
    <row r="25" spans="1:11" ht="13.5" thickBot="1" x14ac:dyDescent="0.25">
      <c r="A25" s="2299" t="s">
        <v>634</v>
      </c>
      <c r="B25" s="2300"/>
      <c r="C25" s="578"/>
      <c r="D25" s="578"/>
      <c r="E25" s="578"/>
      <c r="F25" s="1752">
        <f>SUM(C25+D25)-E25</f>
        <v>0</v>
      </c>
      <c r="G25" s="549"/>
    </row>
    <row r="26" spans="1:11" ht="15.75" customHeight="1" thickTop="1" x14ac:dyDescent="0.2">
      <c r="A26" s="2303" t="s">
        <v>657</v>
      </c>
      <c r="B26" s="2298"/>
      <c r="C26" s="724"/>
      <c r="D26" s="724"/>
      <c r="E26" s="724"/>
      <c r="F26" s="725"/>
    </row>
    <row r="27" spans="1:11" ht="13.5" thickBot="1" x14ac:dyDescent="0.25">
      <c r="A27" s="2295" t="s">
        <v>1070</v>
      </c>
      <c r="B27" s="2296"/>
      <c r="C27" s="582"/>
      <c r="D27" s="582"/>
      <c r="E27" s="582"/>
      <c r="F27" s="1752">
        <f>SUM(C27+D27)-E27</f>
        <v>0</v>
      </c>
      <c r="G27" s="549"/>
    </row>
    <row r="28" spans="1:11" ht="7.5" customHeight="1" thickTop="1" x14ac:dyDescent="0.2">
      <c r="A28" s="590"/>
    </row>
    <row r="29" spans="1:11" ht="23.25" customHeight="1" x14ac:dyDescent="0.2">
      <c r="A29" s="2301" t="s">
        <v>582</v>
      </c>
      <c r="B29" s="2302"/>
      <c r="C29" s="726"/>
      <c r="D29" s="726"/>
      <c r="E29" s="726"/>
      <c r="F29" s="726"/>
      <c r="G29" s="726"/>
      <c r="H29" s="726"/>
      <c r="I29" s="726"/>
      <c r="J29" s="726"/>
    </row>
    <row r="30" spans="1:11" ht="33.75" x14ac:dyDescent="0.2">
      <c r="A30" s="1526" t="s">
        <v>1071</v>
      </c>
      <c r="B30" s="727" t="s">
        <v>1124</v>
      </c>
      <c r="C30" s="1880" t="s">
        <v>583</v>
      </c>
      <c r="D30" s="1880" t="s">
        <v>1673</v>
      </c>
      <c r="E30" s="1880" t="s">
        <v>1957</v>
      </c>
      <c r="F30" s="1880" t="s">
        <v>1958</v>
      </c>
      <c r="G30" s="1880" t="s">
        <v>1908</v>
      </c>
      <c r="H30" s="1880" t="s">
        <v>1959</v>
      </c>
      <c r="I30" s="1880" t="s">
        <v>1960</v>
      </c>
      <c r="J30" s="1881" t="s">
        <v>2</v>
      </c>
      <c r="K30" s="728"/>
    </row>
    <row r="31" spans="1:11" ht="12" customHeight="1" x14ac:dyDescent="0.2">
      <c r="A31" s="729"/>
      <c r="B31" s="730"/>
      <c r="C31" s="731"/>
      <c r="D31" s="732"/>
      <c r="E31" s="731"/>
      <c r="F31" s="731"/>
      <c r="G31" s="731"/>
      <c r="H31" s="731"/>
      <c r="I31" s="1753">
        <f>((E31+F31)-H31)+G31</f>
        <v>0</v>
      </c>
      <c r="J31" s="731"/>
      <c r="K31" s="733"/>
    </row>
    <row r="32" spans="1:11" ht="12" customHeight="1" x14ac:dyDescent="0.2">
      <c r="A32" s="729"/>
      <c r="B32" s="730"/>
      <c r="C32" s="731"/>
      <c r="D32" s="732"/>
      <c r="E32" s="731"/>
      <c r="F32" s="731"/>
      <c r="G32" s="731"/>
      <c r="H32" s="731"/>
      <c r="I32" s="1753">
        <f>((E32+F32)-H32)+G32</f>
        <v>0</v>
      </c>
      <c r="J32" s="731"/>
      <c r="K32" s="733"/>
    </row>
    <row r="33" spans="1:11" ht="12" customHeight="1" x14ac:dyDescent="0.2">
      <c r="A33" s="729"/>
      <c r="B33" s="730"/>
      <c r="C33" s="731"/>
      <c r="D33" s="732"/>
      <c r="E33" s="731"/>
      <c r="F33" s="731"/>
      <c r="G33" s="731"/>
      <c r="H33" s="731"/>
      <c r="I33" s="1753">
        <f t="shared" ref="I33:I48" si="1">((E33+F33)-H33)+G33</f>
        <v>0</v>
      </c>
      <c r="J33" s="731"/>
      <c r="K33" s="733"/>
    </row>
    <row r="34" spans="1:11" ht="12" customHeight="1" x14ac:dyDescent="0.2">
      <c r="A34" s="729"/>
      <c r="B34" s="730"/>
      <c r="C34" s="731"/>
      <c r="D34" s="732"/>
      <c r="E34" s="731"/>
      <c r="F34" s="731"/>
      <c r="G34" s="731"/>
      <c r="H34" s="731"/>
      <c r="I34" s="1753">
        <f t="shared" si="1"/>
        <v>0</v>
      </c>
      <c r="J34" s="731"/>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0</v>
      </c>
      <c r="D49" s="742"/>
      <c r="E49" s="1753">
        <f t="shared" ref="E49:J49" si="2">SUM(E31:E48)</f>
        <v>0</v>
      </c>
      <c r="F49" s="1753">
        <f t="shared" si="2"/>
        <v>0</v>
      </c>
      <c r="G49" s="1753">
        <f t="shared" si="2"/>
        <v>0</v>
      </c>
      <c r="H49" s="1753">
        <f t="shared" si="2"/>
        <v>0</v>
      </c>
      <c r="I49" s="1753">
        <f t="shared" si="2"/>
        <v>0</v>
      </c>
      <c r="J49" s="1753">
        <f t="shared" si="2"/>
        <v>0</v>
      </c>
      <c r="K49" s="734"/>
    </row>
    <row r="50" spans="1:11" ht="6" customHeight="1" x14ac:dyDescent="0.2">
      <c r="A50" s="743"/>
      <c r="B50" s="733"/>
      <c r="C50" s="733"/>
      <c r="D50" s="733"/>
      <c r="E50" s="733"/>
      <c r="F50" s="733"/>
      <c r="G50" s="733"/>
      <c r="H50" s="733"/>
      <c r="I50" s="733"/>
      <c r="J50" s="743"/>
    </row>
    <row r="51" spans="1:11" x14ac:dyDescent="0.2">
      <c r="A51" s="744" t="s">
        <v>1804</v>
      </c>
      <c r="B51" s="743"/>
      <c r="C51" s="734"/>
      <c r="D51" s="734"/>
      <c r="E51" s="734"/>
      <c r="F51" s="734"/>
      <c r="G51" s="734"/>
      <c r="H51" s="733"/>
      <c r="I51" s="733"/>
      <c r="J51" s="743"/>
    </row>
    <row r="52" spans="1:11" ht="11.25" customHeight="1" x14ac:dyDescent="0.2">
      <c r="A52" s="745" t="s">
        <v>912</v>
      </c>
      <c r="B52" s="2284" t="s">
        <v>584</v>
      </c>
      <c r="C52" s="2285"/>
      <c r="D52" s="2285"/>
      <c r="E52" s="746" t="s">
        <v>845</v>
      </c>
      <c r="F52" s="2286"/>
      <c r="G52" s="2287"/>
      <c r="H52" s="733"/>
      <c r="I52" s="733"/>
      <c r="J52" s="743"/>
    </row>
    <row r="53" spans="1:11" ht="11.25" customHeight="1" x14ac:dyDescent="0.2">
      <c r="A53" s="747" t="s">
        <v>913</v>
      </c>
      <c r="B53" s="748" t="s">
        <v>951</v>
      </c>
      <c r="C53" s="743"/>
      <c r="D53" s="734"/>
      <c r="E53" s="746" t="s">
        <v>497</v>
      </c>
      <c r="F53" s="2288"/>
      <c r="G53" s="2289"/>
      <c r="H53" s="733"/>
      <c r="I53" s="733"/>
      <c r="J53" s="743"/>
    </row>
    <row r="54" spans="1:11" ht="11.25" customHeight="1" x14ac:dyDescent="0.2">
      <c r="A54" s="749" t="s">
        <v>914</v>
      </c>
      <c r="B54" s="744" t="s">
        <v>952</v>
      </c>
      <c r="C54" s="743"/>
      <c r="D54" s="734"/>
      <c r="E54" s="746" t="s">
        <v>498</v>
      </c>
      <c r="F54" s="2288"/>
      <c r="G54" s="2289"/>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13" t="s">
        <v>856</v>
      </c>
      <c r="B1" s="2314"/>
      <c r="C1" s="2314"/>
      <c r="D1" s="2314"/>
      <c r="E1" s="2314"/>
      <c r="F1" s="2314"/>
      <c r="G1" s="2315"/>
      <c r="H1" s="1527"/>
      <c r="I1" s="757"/>
      <c r="J1" s="433"/>
    </row>
    <row r="2" spans="1:11" ht="26.25" x14ac:dyDescent="0.2">
      <c r="A2" s="2332" t="s">
        <v>1677</v>
      </c>
      <c r="B2" s="2333"/>
      <c r="C2" s="2333"/>
      <c r="D2" s="2333"/>
      <c r="E2" s="2334"/>
      <c r="F2" s="758" t="s">
        <v>904</v>
      </c>
      <c r="G2" s="759" t="s">
        <v>1674</v>
      </c>
      <c r="H2" s="759" t="s">
        <v>410</v>
      </c>
      <c r="I2" s="759" t="s">
        <v>1158</v>
      </c>
      <c r="J2" s="759" t="s">
        <v>1809</v>
      </c>
      <c r="K2" s="759" t="s">
        <v>138</v>
      </c>
    </row>
    <row r="3" spans="1:11" x14ac:dyDescent="0.2">
      <c r="A3" s="2335" t="s">
        <v>1961</v>
      </c>
      <c r="B3" s="2336"/>
      <c r="C3" s="2336"/>
      <c r="D3" s="2336"/>
      <c r="E3" s="2337"/>
      <c r="F3" s="760"/>
      <c r="G3" s="761"/>
      <c r="H3" s="761"/>
      <c r="I3" s="761"/>
      <c r="J3" s="762"/>
      <c r="K3" s="762"/>
    </row>
    <row r="4" spans="1:11" x14ac:dyDescent="0.2">
      <c r="A4" s="2338" t="s">
        <v>369</v>
      </c>
      <c r="B4" s="2339"/>
      <c r="C4" s="2339"/>
      <c r="D4" s="2339"/>
      <c r="E4" s="2285"/>
      <c r="F4" s="763"/>
      <c r="G4" s="764"/>
      <c r="H4" s="765"/>
      <c r="I4" s="764"/>
      <c r="J4" s="766"/>
      <c r="K4" s="766"/>
    </row>
    <row r="5" spans="1:11" x14ac:dyDescent="0.2">
      <c r="A5" s="2316" t="s">
        <v>1069</v>
      </c>
      <c r="B5" s="2317"/>
      <c r="C5" s="2317"/>
      <c r="D5" s="2317"/>
      <c r="E5" s="2318"/>
      <c r="F5" s="767" t="s">
        <v>848</v>
      </c>
      <c r="G5" s="768"/>
      <c r="H5" s="761"/>
      <c r="I5" s="769"/>
      <c r="J5" s="770"/>
      <c r="K5" s="770"/>
    </row>
    <row r="6" spans="1:11" x14ac:dyDescent="0.2">
      <c r="A6" s="771" t="s">
        <v>720</v>
      </c>
      <c r="B6" s="772"/>
      <c r="C6" s="772"/>
      <c r="D6" s="772"/>
      <c r="E6" s="773"/>
      <c r="F6" s="774" t="s">
        <v>849</v>
      </c>
      <c r="G6" s="761"/>
      <c r="H6" s="761"/>
      <c r="I6" s="761"/>
      <c r="J6" s="762"/>
      <c r="K6" s="762"/>
    </row>
    <row r="7" spans="1:11" x14ac:dyDescent="0.2">
      <c r="A7" s="775" t="s">
        <v>246</v>
      </c>
      <c r="B7" s="776"/>
      <c r="C7" s="776"/>
      <c r="D7" s="776"/>
      <c r="E7" s="777"/>
      <c r="F7" s="767" t="s">
        <v>850</v>
      </c>
      <c r="G7" s="764"/>
      <c r="H7" s="764"/>
      <c r="I7" s="764"/>
      <c r="J7" s="778"/>
      <c r="K7" s="762"/>
    </row>
    <row r="8" spans="1:11" x14ac:dyDescent="0.2">
      <c r="A8" s="775" t="s">
        <v>345</v>
      </c>
      <c r="B8" s="776"/>
      <c r="C8" s="776"/>
      <c r="D8" s="776"/>
      <c r="E8" s="777"/>
      <c r="F8" s="767" t="s">
        <v>851</v>
      </c>
      <c r="G8" s="779"/>
      <c r="H8" s="779"/>
      <c r="I8" s="779"/>
      <c r="J8" s="762"/>
      <c r="K8" s="766"/>
    </row>
    <row r="9" spans="1:11" x14ac:dyDescent="0.2">
      <c r="A9" s="775" t="s">
        <v>138</v>
      </c>
      <c r="B9" s="776"/>
      <c r="C9" s="776"/>
      <c r="D9" s="776"/>
      <c r="E9" s="777"/>
      <c r="F9" s="774" t="s">
        <v>853</v>
      </c>
      <c r="G9" s="779"/>
      <c r="H9" s="768"/>
      <c r="I9" s="768"/>
      <c r="J9" s="778"/>
      <c r="K9" s="762"/>
    </row>
    <row r="10" spans="1:11" x14ac:dyDescent="0.2">
      <c r="A10" s="2316" t="s">
        <v>1810</v>
      </c>
      <c r="B10" s="2317"/>
      <c r="C10" s="2317"/>
      <c r="D10" s="2317"/>
      <c r="E10" s="2319"/>
      <c r="F10" s="780" t="s">
        <v>862</v>
      </c>
      <c r="G10" s="779"/>
      <c r="H10" s="781"/>
      <c r="I10" s="761"/>
      <c r="J10" s="762"/>
      <c r="K10" s="762"/>
    </row>
    <row r="11" spans="1:11" x14ac:dyDescent="0.2">
      <c r="A11" s="2316" t="s">
        <v>160</v>
      </c>
      <c r="B11" s="2317"/>
      <c r="C11" s="2317"/>
      <c r="D11" s="2317"/>
      <c r="E11" s="2318"/>
      <c r="F11" s="767" t="s">
        <v>852</v>
      </c>
      <c r="G11" s="768"/>
      <c r="H11" s="761"/>
      <c r="I11" s="761"/>
      <c r="J11" s="762"/>
      <c r="K11" s="770"/>
    </row>
    <row r="12" spans="1:11" ht="13.5" thickBot="1" x14ac:dyDescent="0.25">
      <c r="A12" s="2343" t="s">
        <v>905</v>
      </c>
      <c r="B12" s="2344"/>
      <c r="C12" s="2344"/>
      <c r="D12" s="2344"/>
      <c r="E12" s="2345"/>
      <c r="F12" s="1754"/>
      <c r="G12" s="1755">
        <f>SUM(G5:G11)</f>
        <v>0</v>
      </c>
      <c r="H12" s="1755">
        <f>SUM(H5:H11)</f>
        <v>0</v>
      </c>
      <c r="I12" s="1755">
        <f>SUM(I5:I11)</f>
        <v>0</v>
      </c>
      <c r="J12" s="1755">
        <f>SUM(J5:J11)</f>
        <v>0</v>
      </c>
      <c r="K12" s="1755">
        <f>SUM(K5:K11)</f>
        <v>0</v>
      </c>
    </row>
    <row r="13" spans="1:11" ht="13.5" thickTop="1" x14ac:dyDescent="0.2">
      <c r="A13" s="2340" t="s">
        <v>370</v>
      </c>
      <c r="B13" s="2341"/>
      <c r="C13" s="2341"/>
      <c r="D13" s="2341"/>
      <c r="E13" s="2342"/>
      <c r="F13" s="782"/>
      <c r="G13" s="783"/>
      <c r="H13" s="784"/>
      <c r="I13" s="785"/>
      <c r="J13" s="785"/>
      <c r="K13" s="785"/>
    </row>
    <row r="14" spans="1:11" x14ac:dyDescent="0.2">
      <c r="A14" s="2323" t="s">
        <v>456</v>
      </c>
      <c r="B14" s="2323"/>
      <c r="C14" s="2323"/>
      <c r="D14" s="2323"/>
      <c r="E14" s="2324"/>
      <c r="F14" s="786" t="s">
        <v>854</v>
      </c>
      <c r="G14" s="779"/>
      <c r="H14" s="761"/>
      <c r="I14" s="768"/>
      <c r="J14" s="770"/>
      <c r="K14" s="762"/>
    </row>
    <row r="15" spans="1:11" x14ac:dyDescent="0.2">
      <c r="A15" s="2317" t="s">
        <v>4</v>
      </c>
      <c r="B15" s="2317"/>
      <c r="C15" s="2317"/>
      <c r="D15" s="2317"/>
      <c r="E15" s="2318"/>
      <c r="F15" s="786" t="s">
        <v>855</v>
      </c>
      <c r="G15" s="768"/>
      <c r="H15" s="761"/>
      <c r="I15" s="761"/>
      <c r="J15" s="762"/>
      <c r="K15" s="762"/>
    </row>
    <row r="16" spans="1:11" x14ac:dyDescent="0.2">
      <c r="A16" s="2317" t="s">
        <v>298</v>
      </c>
      <c r="B16" s="2317"/>
      <c r="C16" s="2317"/>
      <c r="D16" s="2317"/>
      <c r="E16" s="2318"/>
      <c r="F16" s="786" t="s">
        <v>923</v>
      </c>
      <c r="G16" s="769"/>
      <c r="H16" s="764"/>
      <c r="I16" s="764"/>
      <c r="J16" s="766"/>
      <c r="K16" s="766"/>
    </row>
    <row r="17" spans="1:11" x14ac:dyDescent="0.2">
      <c r="A17" s="2348" t="s">
        <v>935</v>
      </c>
      <c r="B17" s="2348"/>
      <c r="C17" s="2348"/>
      <c r="D17" s="2348"/>
      <c r="E17" s="2349"/>
      <c r="F17" s="787"/>
      <c r="G17" s="788"/>
      <c r="H17" s="789"/>
      <c r="I17" s="789"/>
      <c r="J17" s="790"/>
      <c r="K17" s="791"/>
    </row>
    <row r="18" spans="1:11" x14ac:dyDescent="0.2">
      <c r="A18" s="2327" t="s">
        <v>368</v>
      </c>
      <c r="B18" s="2328"/>
      <c r="C18" s="2328"/>
      <c r="D18" s="2328"/>
      <c r="E18" s="2329"/>
      <c r="F18" s="786" t="s">
        <v>932</v>
      </c>
      <c r="G18" s="779"/>
      <c r="H18" s="779"/>
      <c r="I18" s="779"/>
      <c r="J18" s="762"/>
      <c r="K18" s="792"/>
    </row>
    <row r="19" spans="1:11" ht="21.75" customHeight="1" x14ac:dyDescent="0.2">
      <c r="A19" s="2325" t="s">
        <v>1806</v>
      </c>
      <c r="B19" s="2325"/>
      <c r="C19" s="2325"/>
      <c r="D19" s="2325"/>
      <c r="E19" s="2326"/>
      <c r="F19" s="786" t="s">
        <v>933</v>
      </c>
      <c r="G19" s="779"/>
      <c r="H19" s="779"/>
      <c r="I19" s="779"/>
      <c r="J19" s="762"/>
      <c r="K19" s="792"/>
    </row>
    <row r="20" spans="1:11" x14ac:dyDescent="0.2">
      <c r="A20" s="2327" t="s">
        <v>1811</v>
      </c>
      <c r="B20" s="2328"/>
      <c r="C20" s="2328"/>
      <c r="D20" s="2328"/>
      <c r="E20" s="2329"/>
      <c r="F20" s="786" t="s">
        <v>934</v>
      </c>
      <c r="G20" s="779"/>
      <c r="H20" s="779"/>
      <c r="I20" s="779"/>
      <c r="J20" s="762"/>
      <c r="K20" s="792"/>
    </row>
    <row r="21" spans="1:11" ht="13.5" thickBot="1" x14ac:dyDescent="0.25">
      <c r="A21" s="2346" t="s">
        <v>638</v>
      </c>
      <c r="B21" s="2346"/>
      <c r="C21" s="2346"/>
      <c r="D21" s="2346"/>
      <c r="E21" s="2346"/>
      <c r="F21" s="1756"/>
      <c r="G21" s="789"/>
      <c r="H21" s="793"/>
      <c r="I21" s="793"/>
      <c r="J21" s="1757">
        <f>SUM(J18:J20)</f>
        <v>0</v>
      </c>
      <c r="K21" s="790"/>
    </row>
    <row r="22" spans="1:11" ht="13.5" thickTop="1" x14ac:dyDescent="0.2">
      <c r="A22" s="2317" t="s">
        <v>1812</v>
      </c>
      <c r="B22" s="2317"/>
      <c r="C22" s="2317"/>
      <c r="D22" s="2317"/>
      <c r="E22" s="2318"/>
      <c r="F22" s="786" t="s">
        <v>862</v>
      </c>
      <c r="G22" s="779"/>
      <c r="H22" s="761"/>
      <c r="I22" s="761"/>
      <c r="J22" s="794"/>
      <c r="K22" s="762"/>
    </row>
    <row r="23" spans="1:11" ht="13.5" thickBot="1" x14ac:dyDescent="0.25">
      <c r="A23" s="2347" t="s">
        <v>906</v>
      </c>
      <c r="B23" s="2346"/>
      <c r="C23" s="2346"/>
      <c r="D23" s="2346"/>
      <c r="E23" s="2346"/>
      <c r="F23" s="1758"/>
      <c r="G23" s="1755">
        <f>SUM(G14:G16,G21,G22)</f>
        <v>0</v>
      </c>
      <c r="H23" s="1755">
        <f>SUM(H14:H16,H21,H22)</f>
        <v>0</v>
      </c>
      <c r="I23" s="1755">
        <f>SUM(I14:I16,I21,I22)</f>
        <v>0</v>
      </c>
      <c r="J23" s="1755">
        <f>SUM(J14:J16,J21,J22)</f>
        <v>0</v>
      </c>
      <c r="K23" s="1755">
        <f>SUM(K14:K16,K21,K22)</f>
        <v>0</v>
      </c>
    </row>
    <row r="24" spans="1:11" ht="14.25" thickTop="1" thickBot="1" x14ac:dyDescent="0.25">
      <c r="A24" s="2347" t="s">
        <v>1962</v>
      </c>
      <c r="B24" s="2346"/>
      <c r="C24" s="2346"/>
      <c r="D24" s="2346"/>
      <c r="E24" s="2346"/>
      <c r="F24" s="1759"/>
      <c r="G24" s="1760">
        <f>SUM(G3,G12)-G23</f>
        <v>0</v>
      </c>
      <c r="H24" s="1760">
        <f>SUM(H3,H12)-H23</f>
        <v>0</v>
      </c>
      <c r="I24" s="1760">
        <f>SUM(I3,I12)-I23</f>
        <v>0</v>
      </c>
      <c r="J24" s="1760">
        <f>SUM(J3,J12)-J23</f>
        <v>0</v>
      </c>
      <c r="K24" s="1760">
        <f>SUM(K3,K12)-K23</f>
        <v>0</v>
      </c>
    </row>
    <row r="25" spans="1:11" ht="13.5" thickTop="1" x14ac:dyDescent="0.2">
      <c r="A25" s="795" t="s">
        <v>420</v>
      </c>
      <c r="B25" s="796"/>
      <c r="C25" s="796"/>
      <c r="D25" s="796"/>
      <c r="E25" s="797"/>
      <c r="F25" s="798">
        <v>714</v>
      </c>
      <c r="G25" s="799"/>
      <c r="H25" s="799"/>
      <c r="I25" s="799"/>
      <c r="J25" s="794"/>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5" t="s">
        <v>1907</v>
      </c>
      <c r="B28" s="1876"/>
      <c r="C28" s="1876"/>
      <c r="D28" s="1876"/>
      <c r="E28" s="1877"/>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320"/>
      <c r="I31" s="2321"/>
      <c r="J31" s="2321"/>
      <c r="K31" s="2321"/>
    </row>
    <row r="32" spans="1:11" x14ac:dyDescent="0.2">
      <c r="A32" s="806"/>
      <c r="B32" s="237"/>
      <c r="C32" s="237"/>
      <c r="D32" s="237"/>
      <c r="E32" s="802"/>
      <c r="F32" s="808" t="s">
        <v>540</v>
      </c>
      <c r="G32" s="761"/>
      <c r="H32" s="2322"/>
      <c r="I32" s="2321"/>
      <c r="J32" s="2321"/>
      <c r="K32" s="2321"/>
    </row>
    <row r="33" spans="1:11" ht="1.5" customHeight="1" x14ac:dyDescent="0.2">
      <c r="A33" s="809" t="s">
        <v>1169</v>
      </c>
      <c r="B33" s="364"/>
      <c r="C33" s="364"/>
      <c r="D33" s="364"/>
      <c r="E33" s="364"/>
      <c r="F33" s="364"/>
      <c r="G33" s="810"/>
      <c r="H33" s="2322"/>
      <c r="I33" s="2321"/>
      <c r="J33" s="2321"/>
      <c r="K33" s="2321"/>
    </row>
    <row r="34" spans="1:11" x14ac:dyDescent="0.2">
      <c r="A34" s="811" t="s">
        <v>1813</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317" t="s">
        <v>541</v>
      </c>
      <c r="B41" s="2330"/>
      <c r="C41" s="2330"/>
      <c r="D41" s="2330"/>
      <c r="E41" s="2330"/>
      <c r="F41" s="2331"/>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1807</v>
      </c>
      <c r="B46" s="408" t="s">
        <v>1675</v>
      </c>
    </row>
    <row r="47" spans="1:11" s="820" customFormat="1" ht="12.75" customHeight="1" x14ac:dyDescent="0.2">
      <c r="A47" s="818"/>
      <c r="B47" s="819" t="s">
        <v>1676</v>
      </c>
      <c r="E47" s="819"/>
      <c r="K47" s="821"/>
    </row>
    <row r="48" spans="1:11" ht="12.75" customHeight="1" x14ac:dyDescent="0.2">
      <c r="A48" s="1529"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52" t="s">
        <v>1906</v>
      </c>
      <c r="B1" s="2353"/>
      <c r="C1" s="2354"/>
      <c r="D1" s="823"/>
      <c r="E1" s="824"/>
      <c r="F1" s="824"/>
      <c r="G1" s="825"/>
      <c r="H1" s="826"/>
      <c r="I1" s="827"/>
      <c r="J1" s="2350"/>
      <c r="K1" s="2351"/>
      <c r="L1" s="2351"/>
    </row>
    <row r="2" spans="1:14" ht="69.75" customHeight="1" x14ac:dyDescent="0.2">
      <c r="A2" s="828" t="s">
        <v>1678</v>
      </c>
      <c r="B2" s="829" t="s">
        <v>378</v>
      </c>
      <c r="C2" s="830" t="s">
        <v>1963</v>
      </c>
      <c r="D2" s="830" t="s">
        <v>1964</v>
      </c>
      <c r="E2" s="830" t="s">
        <v>1965</v>
      </c>
      <c r="F2" s="830" t="s">
        <v>1966</v>
      </c>
      <c r="G2" s="830" t="s">
        <v>605</v>
      </c>
      <c r="H2" s="830" t="s">
        <v>1967</v>
      </c>
      <c r="I2" s="830" t="s">
        <v>1968</v>
      </c>
      <c r="J2" s="830" t="s">
        <v>1969</v>
      </c>
      <c r="K2" s="830" t="s">
        <v>1970</v>
      </c>
      <c r="L2" s="830" t="s">
        <v>1971</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0</v>
      </c>
      <c r="D5" s="838"/>
      <c r="E5" s="838"/>
      <c r="F5" s="1757">
        <f>(C5+D5)-E5</f>
        <v>0</v>
      </c>
      <c r="G5" s="834"/>
      <c r="H5" s="839"/>
      <c r="I5" s="839"/>
      <c r="J5" s="839"/>
      <c r="K5" s="790"/>
      <c r="L5" s="1766">
        <f>F5-K5</f>
        <v>0</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515570</v>
      </c>
      <c r="D8" s="841"/>
      <c r="E8" s="841"/>
      <c r="F8" s="1757">
        <f>(C8+D8)-E8</f>
        <v>515570</v>
      </c>
      <c r="G8" s="840">
        <v>50</v>
      </c>
      <c r="H8" s="762">
        <v>145255</v>
      </c>
      <c r="I8" s="762">
        <v>10311</v>
      </c>
      <c r="J8" s="762"/>
      <c r="K8" s="1766">
        <f>(H8+I8)-J8</f>
        <v>155566</v>
      </c>
      <c r="L8" s="1766">
        <f>F8-K8</f>
        <v>360004</v>
      </c>
    </row>
    <row r="9" spans="1:14" ht="14.25" thickTop="1" thickBot="1" x14ac:dyDescent="0.25">
      <c r="A9" s="775" t="s">
        <v>1119</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1120</v>
      </c>
      <c r="B10" s="837">
        <v>240</v>
      </c>
      <c r="C10" s="843">
        <v>0</v>
      </c>
      <c r="D10" s="843"/>
      <c r="E10" s="843"/>
      <c r="F10" s="1761">
        <f>(C10+D10)-E10</f>
        <v>0</v>
      </c>
      <c r="G10" s="840">
        <v>20</v>
      </c>
      <c r="H10" s="844">
        <v>0</v>
      </c>
      <c r="I10" s="844"/>
      <c r="J10" s="844"/>
      <c r="K10" s="1766">
        <f>(H10+I10)-J10</f>
        <v>0</v>
      </c>
      <c r="L10" s="1766">
        <f>F10-K10</f>
        <v>0</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60666</v>
      </c>
      <c r="D12" s="841"/>
      <c r="E12" s="841"/>
      <c r="F12" s="1757">
        <f>(C12+D12)-E12</f>
        <v>60666</v>
      </c>
      <c r="G12" s="840">
        <v>10</v>
      </c>
      <c r="H12" s="762">
        <v>46626</v>
      </c>
      <c r="I12" s="762">
        <v>6067</v>
      </c>
      <c r="J12" s="762"/>
      <c r="K12" s="1766">
        <f>(H12+I12)-J12</f>
        <v>52693</v>
      </c>
      <c r="L12" s="1766">
        <f>F12-K12</f>
        <v>7973</v>
      </c>
    </row>
    <row r="13" spans="1:14" ht="14.25" thickTop="1" thickBot="1" x14ac:dyDescent="0.25">
      <c r="A13" s="845" t="s">
        <v>1122</v>
      </c>
      <c r="B13" s="837">
        <v>252</v>
      </c>
      <c r="C13" s="841">
        <v>0</v>
      </c>
      <c r="D13" s="841"/>
      <c r="E13" s="841"/>
      <c r="F13" s="1757">
        <f>(C13+D13)-E13</f>
        <v>0</v>
      </c>
      <c r="G13" s="840">
        <v>5</v>
      </c>
      <c r="H13" s="762">
        <v>0</v>
      </c>
      <c r="I13" s="762"/>
      <c r="J13" s="762"/>
      <c r="K13" s="1766">
        <f>(H13+I13)-J13</f>
        <v>0</v>
      </c>
      <c r="L13" s="1766">
        <f>F13-K13</f>
        <v>0</v>
      </c>
    </row>
    <row r="14" spans="1:14" ht="14.25" thickTop="1" thickBot="1" x14ac:dyDescent="0.25">
      <c r="A14" s="845" t="s">
        <v>1123</v>
      </c>
      <c r="B14" s="837">
        <v>253</v>
      </c>
      <c r="C14" s="762">
        <v>0</v>
      </c>
      <c r="D14" s="762"/>
      <c r="E14" s="762"/>
      <c r="F14" s="1757">
        <f>(C14+D14)-E14</f>
        <v>0</v>
      </c>
      <c r="G14" s="840">
        <v>3</v>
      </c>
      <c r="H14" s="762">
        <v>0</v>
      </c>
      <c r="I14" s="762"/>
      <c r="J14" s="762"/>
      <c r="K14" s="1766">
        <f>(H14+I14)-J14</f>
        <v>0</v>
      </c>
      <c r="L14" s="1766">
        <f>F14-K14</f>
        <v>0</v>
      </c>
    </row>
    <row r="15" spans="1:14" ht="15" customHeight="1" thickTop="1" thickBot="1" x14ac:dyDescent="0.25">
      <c r="A15" s="1628" t="s">
        <v>528</v>
      </c>
      <c r="B15" s="1627">
        <v>260</v>
      </c>
      <c r="C15" s="841">
        <v>0</v>
      </c>
      <c r="D15" s="841"/>
      <c r="E15" s="841"/>
      <c r="F15" s="1757">
        <f>(C15+D15)-E15</f>
        <v>0</v>
      </c>
      <c r="G15" s="846" t="s">
        <v>862</v>
      </c>
      <c r="H15" s="778"/>
      <c r="I15" s="778"/>
      <c r="J15" s="778"/>
      <c r="K15" s="778"/>
      <c r="L15" s="1766">
        <f>F15-K15</f>
        <v>0</v>
      </c>
    </row>
    <row r="16" spans="1:14" ht="15" customHeight="1" thickTop="1" thickBot="1" x14ac:dyDescent="0.25">
      <c r="A16" s="1762" t="s">
        <v>643</v>
      </c>
      <c r="B16" s="1763">
        <v>200</v>
      </c>
      <c r="C16" s="1757">
        <f>SUM(C3,C5:C6,C8:C10,C12:C15)</f>
        <v>576236</v>
      </c>
      <c r="D16" s="1757">
        <f>SUM(D3,D5:D6,D8:D10,D12:D15)</f>
        <v>0</v>
      </c>
      <c r="E16" s="1757">
        <f>SUM(E3,E5:E6,E8:E10,E12:E15)</f>
        <v>0</v>
      </c>
      <c r="F16" s="1757">
        <f>SUM(F3,F5:F6,F8:F10,F12:F15)</f>
        <v>576236</v>
      </c>
      <c r="G16" s="840"/>
      <c r="H16" s="1757">
        <f>SUM(H3,H6,H8:H10,H12:H14,)</f>
        <v>191881</v>
      </c>
      <c r="I16" s="1757">
        <f>SUM(I3,I6,I8:I10,I12:I14,)</f>
        <v>16378</v>
      </c>
      <c r="J16" s="1757">
        <f>SUM(J3,J6,J8:J10,J12:J14,)</f>
        <v>0</v>
      </c>
      <c r="K16" s="1757">
        <f>(H16+I16)-J16</f>
        <v>208259</v>
      </c>
      <c r="L16" s="1757">
        <f>F16-K16</f>
        <v>367977</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76728</v>
      </c>
      <c r="G17" s="834">
        <v>10</v>
      </c>
      <c r="H17" s="766"/>
      <c r="I17" s="1766">
        <f>F17/G17</f>
        <v>7672.8</v>
      </c>
      <c r="J17" s="766"/>
      <c r="K17" s="792"/>
      <c r="L17" s="792"/>
    </row>
    <row r="18" spans="1:12" ht="14.25" thickTop="1" thickBot="1" x14ac:dyDescent="0.25">
      <c r="A18" s="1764" t="s">
        <v>685</v>
      </c>
      <c r="B18" s="1765"/>
      <c r="C18" s="768"/>
      <c r="D18" s="768"/>
      <c r="E18" s="768"/>
      <c r="F18" s="847"/>
      <c r="G18" s="848"/>
      <c r="H18" s="770"/>
      <c r="I18" s="1757">
        <f>SUM(I16,I17)</f>
        <v>24050.799999999999</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L31" sqref="L31"/>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358" t="s">
        <v>1972</v>
      </c>
      <c r="B1" s="2359"/>
      <c r="C1" s="2359"/>
      <c r="D1" s="2359"/>
      <c r="E1" s="2359"/>
      <c r="F1" s="2360"/>
      <c r="G1" s="852"/>
    </row>
    <row r="2" spans="1:7" ht="15" customHeight="1" thickBot="1" x14ac:dyDescent="0.25">
      <c r="A2" s="2361" t="s">
        <v>477</v>
      </c>
      <c r="B2" s="2362"/>
      <c r="C2" s="2362"/>
      <c r="D2" s="2362"/>
      <c r="E2" s="2362"/>
      <c r="F2" s="2363"/>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364"/>
      <c r="B5" s="2365"/>
      <c r="C5" s="2365"/>
      <c r="D5" s="2365"/>
      <c r="E5" s="2365"/>
      <c r="F5" s="2365"/>
    </row>
    <row r="6" spans="1:7" ht="13.5" customHeight="1" thickBot="1" x14ac:dyDescent="0.25">
      <c r="A6" s="2355" t="s">
        <v>1104</v>
      </c>
      <c r="B6" s="2356"/>
      <c r="C6" s="2356"/>
      <c r="D6" s="2356"/>
      <c r="E6" s="2356"/>
      <c r="F6" s="2357"/>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3">
        <f>'Expenditures 15-22'!K114</f>
        <v>8301769</v>
      </c>
      <c r="G8" s="862"/>
    </row>
    <row r="9" spans="1:7" x14ac:dyDescent="0.2">
      <c r="A9" s="866" t="s">
        <v>460</v>
      </c>
      <c r="B9" s="867" t="s">
        <v>1874</v>
      </c>
      <c r="C9" s="868"/>
      <c r="D9" s="866" t="s">
        <v>501</v>
      </c>
      <c r="E9" s="865"/>
      <c r="F9" s="1904">
        <f>'Expenditures 15-22'!K151</f>
        <v>0</v>
      </c>
      <c r="G9" s="869"/>
    </row>
    <row r="10" spans="1:7" x14ac:dyDescent="0.2">
      <c r="A10" s="866" t="s">
        <v>499</v>
      </c>
      <c r="B10" s="867" t="s">
        <v>1875</v>
      </c>
      <c r="C10" s="868"/>
      <c r="D10" s="866" t="s">
        <v>501</v>
      </c>
      <c r="E10" s="865"/>
      <c r="F10" s="1904">
        <f>'Expenditures 15-22'!K174</f>
        <v>0</v>
      </c>
      <c r="G10" s="869"/>
    </row>
    <row r="11" spans="1:7" x14ac:dyDescent="0.2">
      <c r="A11" s="866" t="s">
        <v>461</v>
      </c>
      <c r="B11" s="867" t="s">
        <v>1876</v>
      </c>
      <c r="C11" s="868"/>
      <c r="D11" s="866" t="s">
        <v>501</v>
      </c>
      <c r="E11" s="865"/>
      <c r="F11" s="1904">
        <f>'Expenditures 15-22'!K210</f>
        <v>0</v>
      </c>
      <c r="G11" s="869"/>
    </row>
    <row r="12" spans="1:7" x14ac:dyDescent="0.2">
      <c r="A12" s="866" t="s">
        <v>462</v>
      </c>
      <c r="B12" s="867" t="s">
        <v>1877</v>
      </c>
      <c r="C12" s="868"/>
      <c r="D12" s="866" t="s">
        <v>501</v>
      </c>
      <c r="E12" s="865"/>
      <c r="F12" s="1904">
        <f>'Expenditures 15-22'!K295</f>
        <v>0</v>
      </c>
      <c r="G12" s="869"/>
    </row>
    <row r="13" spans="1:7" x14ac:dyDescent="0.2">
      <c r="A13" s="866" t="s">
        <v>106</v>
      </c>
      <c r="B13" s="867" t="s">
        <v>1878</v>
      </c>
      <c r="C13" s="868"/>
      <c r="D13" s="866" t="s">
        <v>501</v>
      </c>
      <c r="E13" s="865"/>
      <c r="F13" s="1904">
        <f>'Expenditures 15-22'!K342</f>
        <v>62473</v>
      </c>
      <c r="G13" s="870"/>
    </row>
    <row r="14" spans="1:7" ht="12" customHeight="1" thickBot="1" x14ac:dyDescent="0.25">
      <c r="A14" s="1767"/>
      <c r="B14" s="1768"/>
      <c r="C14" s="1769"/>
      <c r="D14" s="1770" t="s">
        <v>501</v>
      </c>
      <c r="E14" s="1771" t="s">
        <v>958</v>
      </c>
      <c r="F14" s="1772">
        <f>SUM(F8:F13)</f>
        <v>8364242</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5">
        <f>'Revenues 9-14'!F43</f>
        <v>0</v>
      </c>
      <c r="G18" s="862"/>
    </row>
    <row r="19" spans="1:7" x14ac:dyDescent="0.2">
      <c r="A19" s="866" t="s">
        <v>461</v>
      </c>
      <c r="B19" s="867" t="s">
        <v>1011</v>
      </c>
      <c r="C19" s="874">
        <f>'Revenues 9-14'!B47</f>
        <v>1421</v>
      </c>
      <c r="D19" s="875" t="str">
        <f>'Revenues 9-14'!A47</f>
        <v>Summer Sch - Transp. Fees from Pupils or Parents (In State)</v>
      </c>
      <c r="E19" s="876"/>
      <c r="F19" s="1906">
        <f>'Revenues 9-14'!F47</f>
        <v>0</v>
      </c>
      <c r="G19" s="862"/>
    </row>
    <row r="20" spans="1:7" x14ac:dyDescent="0.2">
      <c r="A20" s="866" t="s">
        <v>461</v>
      </c>
      <c r="B20" s="867" t="s">
        <v>1012</v>
      </c>
      <c r="C20" s="872">
        <f>'Revenues 9-14'!B48</f>
        <v>1422</v>
      </c>
      <c r="D20" s="873" t="str">
        <f>'Revenues 9-14'!A48</f>
        <v>Summer Sch - Transp. Fees from Other Districts (In State)</v>
      </c>
      <c r="E20" s="865"/>
      <c r="F20" s="1907">
        <f>'Revenues 9-14'!F48</f>
        <v>0</v>
      </c>
      <c r="G20" s="862"/>
    </row>
    <row r="21" spans="1:7" x14ac:dyDescent="0.2">
      <c r="A21" s="866" t="s">
        <v>461</v>
      </c>
      <c r="B21" s="867" t="s">
        <v>1013</v>
      </c>
      <c r="C21" s="874">
        <f>'Revenues 9-14'!B49</f>
        <v>1423</v>
      </c>
      <c r="D21" s="873" t="str">
        <f>'Revenues 9-14'!A49</f>
        <v>Summer Sch - Transp. Fees from Other Sources (In State)</v>
      </c>
      <c r="E21" s="865"/>
      <c r="F21" s="1908">
        <f>'Revenues 9-14'!F49</f>
        <v>0</v>
      </c>
      <c r="G21" s="862"/>
    </row>
    <row r="22" spans="1:7" x14ac:dyDescent="0.2">
      <c r="A22" s="866" t="s">
        <v>461</v>
      </c>
      <c r="B22" s="867" t="s">
        <v>1014</v>
      </c>
      <c r="C22" s="874">
        <f>'Revenues 9-14'!B50</f>
        <v>1424</v>
      </c>
      <c r="D22" s="873" t="str">
        <f>'Revenues 9-14'!A50</f>
        <v>Summer Sch - Transp. Fees from Other Sources (Out of State)</v>
      </c>
      <c r="E22" s="865"/>
      <c r="F22" s="1908">
        <f>'Revenues 9-14'!F50</f>
        <v>0</v>
      </c>
      <c r="G22" s="862"/>
    </row>
    <row r="23" spans="1:7" x14ac:dyDescent="0.2">
      <c r="A23" s="866" t="s">
        <v>461</v>
      </c>
      <c r="B23" s="867" t="s">
        <v>1015</v>
      </c>
      <c r="C23" s="872">
        <f>'Revenues 9-14'!B52</f>
        <v>1432</v>
      </c>
      <c r="D23" s="873" t="str">
        <f>'Revenues 9-14'!A52</f>
        <v>CTE - Transp Fees from Other Districts (In State)</v>
      </c>
      <c r="E23" s="865"/>
      <c r="F23" s="1908">
        <f>'Revenues 9-14'!F52</f>
        <v>0</v>
      </c>
      <c r="G23" s="862"/>
    </row>
    <row r="24" spans="1:7" x14ac:dyDescent="0.2">
      <c r="A24" s="866" t="s">
        <v>461</v>
      </c>
      <c r="B24" s="867" t="s">
        <v>1016</v>
      </c>
      <c r="C24" s="872">
        <f>'Revenues 9-14'!B56</f>
        <v>1442</v>
      </c>
      <c r="D24" s="873" t="str">
        <f>'Revenues 9-14'!A56</f>
        <v>Special Ed - Transp Fees from Other Districts (In State)</v>
      </c>
      <c r="E24" s="865"/>
      <c r="F24" s="1908">
        <f>'Revenues 9-14'!F56</f>
        <v>0</v>
      </c>
      <c r="G24" s="862"/>
    </row>
    <row r="25" spans="1:7" x14ac:dyDescent="0.2">
      <c r="A25" s="866" t="s">
        <v>461</v>
      </c>
      <c r="B25" s="867" t="s">
        <v>1017</v>
      </c>
      <c r="C25" s="872">
        <f>'Revenues 9-14'!B59</f>
        <v>1451</v>
      </c>
      <c r="D25" s="873" t="str">
        <f>'Revenues 9-14'!A59</f>
        <v>Adult - Transp Fees from Pupils or Parents (In State)</v>
      </c>
      <c r="E25" s="865"/>
      <c r="F25" s="1908">
        <f>'Revenues 9-14'!F59</f>
        <v>0</v>
      </c>
      <c r="G25" s="862"/>
    </row>
    <row r="26" spans="1:7" x14ac:dyDescent="0.2">
      <c r="A26" s="866" t="s">
        <v>461</v>
      </c>
      <c r="B26" s="867" t="s">
        <v>1018</v>
      </c>
      <c r="C26" s="872">
        <f>'Revenues 9-14'!B60</f>
        <v>1452</v>
      </c>
      <c r="D26" s="873" t="str">
        <f>'Revenues 9-14'!A60</f>
        <v>Adult - Transp Fees from Other Districts (In State)</v>
      </c>
      <c r="E26" s="865"/>
      <c r="F26" s="1908">
        <f>'Revenues 9-14'!F60</f>
        <v>0</v>
      </c>
      <c r="G26" s="862"/>
    </row>
    <row r="27" spans="1:7" x14ac:dyDescent="0.2">
      <c r="A27" s="866" t="s">
        <v>461</v>
      </c>
      <c r="B27" s="867" t="s">
        <v>1019</v>
      </c>
      <c r="C27" s="872">
        <f>'Revenues 9-14'!B61</f>
        <v>1453</v>
      </c>
      <c r="D27" s="873" t="str">
        <f>'Revenues 9-14'!A61</f>
        <v>Adult - Transp Fees from Other Sources (In State)</v>
      </c>
      <c r="E27" s="865"/>
      <c r="F27" s="1908">
        <f>'Revenues 9-14'!F61</f>
        <v>0</v>
      </c>
      <c r="G27" s="862"/>
    </row>
    <row r="28" spans="1:7" x14ac:dyDescent="0.2">
      <c r="A28" s="866" t="s">
        <v>461</v>
      </c>
      <c r="B28" s="867" t="s">
        <v>1020</v>
      </c>
      <c r="C28" s="872">
        <f>'Revenues 9-14'!B62</f>
        <v>1454</v>
      </c>
      <c r="D28" s="873" t="str">
        <f>'Revenues 9-14'!A62</f>
        <v>Adult - Transp Fees from Other Sources (Out of State)</v>
      </c>
      <c r="E28" s="865"/>
      <c r="F28" s="1908">
        <f>'Revenues 9-14'!F62</f>
        <v>0</v>
      </c>
      <c r="G28" s="862"/>
    </row>
    <row r="29" spans="1:7" x14ac:dyDescent="0.2">
      <c r="A29" s="866" t="s">
        <v>1097</v>
      </c>
      <c r="B29" s="867" t="s">
        <v>810</v>
      </c>
      <c r="C29" s="877">
        <f>'Revenues 9-14'!B149</f>
        <v>3410</v>
      </c>
      <c r="D29" s="878" t="str">
        <f>'Revenues 9-14'!A149</f>
        <v>Adult Ed (from ICCB)</v>
      </c>
      <c r="E29" s="865"/>
      <c r="F29" s="1908">
        <f>SUM('Revenues 9-14'!D149,'Revenues 9-14'!F149)</f>
        <v>0</v>
      </c>
      <c r="G29" s="862"/>
    </row>
    <row r="30" spans="1:7" x14ac:dyDescent="0.2">
      <c r="A30" s="866" t="s">
        <v>1097</v>
      </c>
      <c r="B30" s="867" t="s">
        <v>1996</v>
      </c>
      <c r="C30" s="877">
        <f>'Revenues 9-14'!B150</f>
        <v>3499</v>
      </c>
      <c r="D30" s="878" t="str">
        <f>'Revenues 9-14'!A150</f>
        <v>Adult Ed - Other (Describe &amp; Itemize)</v>
      </c>
      <c r="E30" s="865"/>
      <c r="F30" s="1909">
        <f>('Revenues 9-14'!D150+'Revenues 9-14'!F150)</f>
        <v>0</v>
      </c>
      <c r="G30" s="862"/>
    </row>
    <row r="31" spans="1:7" x14ac:dyDescent="0.2">
      <c r="A31" s="866" t="s">
        <v>1097</v>
      </c>
      <c r="B31" s="867" t="s">
        <v>1997</v>
      </c>
      <c r="C31" s="872">
        <f>'Revenues 9-14'!B211</f>
        <v>4600</v>
      </c>
      <c r="D31" s="880" t="str">
        <f>'Revenues 9-14'!A211</f>
        <v>Fed - Spec Education - Preschool Flow-Through</v>
      </c>
      <c r="E31" s="881"/>
      <c r="F31" s="1908">
        <f>SUM('Revenues 9-14'!D211,'Revenues 9-14'!F211)</f>
        <v>0</v>
      </c>
      <c r="G31" s="862"/>
    </row>
    <row r="32" spans="1:7" x14ac:dyDescent="0.2">
      <c r="A32" s="866" t="s">
        <v>1097</v>
      </c>
      <c r="B32" s="867" t="s">
        <v>1998</v>
      </c>
      <c r="C32" s="872">
        <f>'Revenues 9-14'!B212</f>
        <v>4605</v>
      </c>
      <c r="D32" s="882" t="str">
        <f>'Revenues 9-14'!A212</f>
        <v>Fed - Spec Education - Preschool Discretionary</v>
      </c>
      <c r="E32" s="881"/>
      <c r="F32" s="1908">
        <f>SUM('Revenues 9-14'!D212,'Revenues 9-14'!F212)</f>
        <v>0</v>
      </c>
      <c r="G32" s="862"/>
    </row>
    <row r="33" spans="1:7" x14ac:dyDescent="0.2">
      <c r="A33" s="866" t="s">
        <v>460</v>
      </c>
      <c r="B33" s="867" t="s">
        <v>1999</v>
      </c>
      <c r="C33" s="872">
        <f>'Revenues 9-14'!B222</f>
        <v>4810</v>
      </c>
      <c r="D33" s="880" t="str">
        <f>'Revenues 9-14'!A222</f>
        <v>Federal - Adult Education</v>
      </c>
      <c r="E33" s="865"/>
      <c r="F33" s="1908">
        <f>'Revenues 9-14'!D222</f>
        <v>0</v>
      </c>
      <c r="G33" s="862"/>
    </row>
    <row r="34" spans="1:7" x14ac:dyDescent="0.2">
      <c r="A34" s="866" t="s">
        <v>459</v>
      </c>
      <c r="B34" s="866" t="s">
        <v>1469</v>
      </c>
      <c r="C34" s="883" t="str">
        <f>'Expenditures 15-22'!B7</f>
        <v>1125</v>
      </c>
      <c r="D34" s="884" t="str">
        <f>'Expenditures 15-22'!A7</f>
        <v>Pre-K Programs</v>
      </c>
      <c r="E34" s="865"/>
      <c r="F34" s="1908">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908">
        <f>'Expenditures 15-22'!K9-SUM('Expenditures 15-22'!G9+'Expenditures 15-22'!I9)</f>
        <v>413089</v>
      </c>
      <c r="G35" s="862"/>
    </row>
    <row r="36" spans="1:7" x14ac:dyDescent="0.2">
      <c r="A36" s="866" t="s">
        <v>459</v>
      </c>
      <c r="B36" s="866" t="s">
        <v>116</v>
      </c>
      <c r="C36" s="883" t="str">
        <f>'Expenditures 15-22'!B11</f>
        <v>1275</v>
      </c>
      <c r="D36" s="884" t="str">
        <f>'Expenditures 15-22'!A11</f>
        <v>Remedial and Supplemental Programs Pre-K</v>
      </c>
      <c r="E36" s="865"/>
      <c r="F36" s="1908">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08">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08">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08">
        <f>'Expenditures 15-22'!K20</f>
        <v>0</v>
      </c>
      <c r="G39" s="862"/>
    </row>
    <row r="40" spans="1:7" x14ac:dyDescent="0.2">
      <c r="A40" s="866" t="s">
        <v>459</v>
      </c>
      <c r="B40" s="866" t="s">
        <v>118</v>
      </c>
      <c r="C40" s="883" t="str">
        <f>'Expenditures 15-22'!B21</f>
        <v>1911</v>
      </c>
      <c r="D40" s="885" t="str">
        <f>'Expenditures 15-22'!A21</f>
        <v>Regular K-12 Programs - Private Tuition</v>
      </c>
      <c r="E40" s="865"/>
      <c r="F40" s="1908">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08">
        <f>'Expenditures 15-22'!K22</f>
        <v>0</v>
      </c>
      <c r="G41" s="862"/>
    </row>
    <row r="42" spans="1:7" x14ac:dyDescent="0.2">
      <c r="A42" s="866" t="s">
        <v>459</v>
      </c>
      <c r="B42" s="866" t="s">
        <v>120</v>
      </c>
      <c r="C42" s="886" t="str">
        <f>'Expenditures 15-22'!B23</f>
        <v>1913</v>
      </c>
      <c r="D42" s="885" t="str">
        <f>'Expenditures 15-22'!A23</f>
        <v>Special Education Programs Pre-K - Tuition</v>
      </c>
      <c r="E42" s="865"/>
      <c r="F42" s="1908">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08">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08">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08">
        <f>'Expenditures 15-22'!K26</f>
        <v>0</v>
      </c>
      <c r="G45" s="862"/>
    </row>
    <row r="46" spans="1:7" x14ac:dyDescent="0.2">
      <c r="A46" s="866" t="s">
        <v>459</v>
      </c>
      <c r="B46" s="866" t="s">
        <v>124</v>
      </c>
      <c r="C46" s="883" t="str">
        <f>'Expenditures 15-22'!B27</f>
        <v>1917</v>
      </c>
      <c r="D46" s="885" t="str">
        <f>'Expenditures 15-22'!A27</f>
        <v>CTE Programs - Private Tuition</v>
      </c>
      <c r="E46" s="865"/>
      <c r="F46" s="1908">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08">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08">
        <f>'Expenditures 15-22'!K29</f>
        <v>0</v>
      </c>
      <c r="G48" s="862"/>
    </row>
    <row r="49" spans="1:7" x14ac:dyDescent="0.2">
      <c r="A49" s="866" t="s">
        <v>459</v>
      </c>
      <c r="B49" s="866" t="s">
        <v>127</v>
      </c>
      <c r="C49" s="883" t="str">
        <f>'Expenditures 15-22'!B30</f>
        <v>1920</v>
      </c>
      <c r="D49" s="885" t="str">
        <f>'Expenditures 15-22'!A30</f>
        <v>Gifted Programs - Private Tuition</v>
      </c>
      <c r="E49" s="865"/>
      <c r="F49" s="1908">
        <f>'Expenditures 15-22'!K30</f>
        <v>0</v>
      </c>
      <c r="G49" s="862"/>
    </row>
    <row r="50" spans="1:7" x14ac:dyDescent="0.2">
      <c r="A50" s="866" t="s">
        <v>459</v>
      </c>
      <c r="B50" s="866" t="s">
        <v>128</v>
      </c>
      <c r="C50" s="883" t="str">
        <f>'Expenditures 15-22'!B31</f>
        <v>1921</v>
      </c>
      <c r="D50" s="885" t="str">
        <f>'Expenditures 15-22'!A31</f>
        <v>Bilingual Programs - Private Tuition</v>
      </c>
      <c r="E50" s="865"/>
      <c r="F50" s="1908">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08">
        <f>'Expenditures 15-22'!K32</f>
        <v>0</v>
      </c>
      <c r="G51" s="862"/>
    </row>
    <row r="52" spans="1:7" x14ac:dyDescent="0.2">
      <c r="A52" s="866" t="s">
        <v>459</v>
      </c>
      <c r="B52" s="866" t="s">
        <v>1474</v>
      </c>
      <c r="C52" s="886" t="str">
        <f>'Expenditures 15-22'!B75</f>
        <v>3000</v>
      </c>
      <c r="D52" s="885" t="s">
        <v>449</v>
      </c>
      <c r="E52" s="865"/>
      <c r="F52" s="1908">
        <f>'Expenditures 15-22'!K75-SUM('Expenditures 15-22'!G75,'Expenditures 15-22'!I75)</f>
        <v>39257</v>
      </c>
      <c r="G52" s="862"/>
    </row>
    <row r="53" spans="1:7" x14ac:dyDescent="0.2">
      <c r="A53" s="866" t="s">
        <v>459</v>
      </c>
      <c r="B53" s="866" t="s">
        <v>1475</v>
      </c>
      <c r="C53" s="886">
        <f>'Expenditures 15-22'!B102</f>
        <v>4000</v>
      </c>
      <c r="D53" s="885" t="str">
        <f>'Expenditures 15-22'!A102</f>
        <v>Total Payments to Other Govt Units</v>
      </c>
      <c r="E53" s="865"/>
      <c r="F53" s="1908">
        <f>'Expenditures 15-22'!K102</f>
        <v>0</v>
      </c>
      <c r="G53" s="862"/>
    </row>
    <row r="54" spans="1:7" x14ac:dyDescent="0.2">
      <c r="A54" s="866" t="s">
        <v>459</v>
      </c>
      <c r="B54" s="866" t="s">
        <v>1476</v>
      </c>
      <c r="C54" s="886" t="s">
        <v>982</v>
      </c>
      <c r="D54" s="882" t="s">
        <v>1095</v>
      </c>
      <c r="E54" s="865"/>
      <c r="F54" s="1908">
        <f>'Expenditures 15-22'!G114</f>
        <v>0</v>
      </c>
      <c r="G54" s="862"/>
    </row>
    <row r="55" spans="1:7" x14ac:dyDescent="0.2">
      <c r="A55" s="866" t="s">
        <v>459</v>
      </c>
      <c r="B55" s="866" t="s">
        <v>1477</v>
      </c>
      <c r="C55" s="886" t="s">
        <v>982</v>
      </c>
      <c r="D55" s="882" t="s">
        <v>291</v>
      </c>
      <c r="E55" s="865"/>
      <c r="F55" s="1908">
        <f>'Expenditures 15-22'!I114</f>
        <v>76728</v>
      </c>
      <c r="G55" s="862"/>
    </row>
    <row r="56" spans="1:7" x14ac:dyDescent="0.2">
      <c r="A56" s="866" t="s">
        <v>460</v>
      </c>
      <c r="B56" s="866" t="s">
        <v>1478</v>
      </c>
      <c r="C56" s="883" t="str">
        <f>'Expenditures 15-22'!B130</f>
        <v>3000</v>
      </c>
      <c r="D56" s="889" t="s">
        <v>449</v>
      </c>
      <c r="E56" s="865"/>
      <c r="F56" s="1908">
        <f>'Expenditures 15-22'!K130-SUM('Expenditures 15-22'!G130+'Expenditures 15-22'!I130)</f>
        <v>0</v>
      </c>
      <c r="G56" s="862"/>
    </row>
    <row r="57" spans="1:7" x14ac:dyDescent="0.2">
      <c r="A57" s="866" t="s">
        <v>460</v>
      </c>
      <c r="B57" s="866" t="s">
        <v>1879</v>
      </c>
      <c r="C57" s="886">
        <f>'Expenditures 15-22'!B139</f>
        <v>4000</v>
      </c>
      <c r="D57" s="884" t="str">
        <f>'Expenditures 15-22'!A139</f>
        <v>Total Payments to Other Govt Units</v>
      </c>
      <c r="E57" s="865"/>
      <c r="F57" s="1908">
        <f>'Expenditures 15-22'!K139</f>
        <v>0</v>
      </c>
      <c r="G57" s="862"/>
    </row>
    <row r="58" spans="1:7" x14ac:dyDescent="0.2">
      <c r="A58" s="866" t="s">
        <v>460</v>
      </c>
      <c r="B58" s="866" t="s">
        <v>1880</v>
      </c>
      <c r="C58" s="883" t="s">
        <v>982</v>
      </c>
      <c r="D58" s="882" t="s">
        <v>1095</v>
      </c>
      <c r="E58" s="865"/>
      <c r="F58" s="1910">
        <f>'Expenditures 15-22'!G151</f>
        <v>0</v>
      </c>
      <c r="G58" s="862"/>
    </row>
    <row r="59" spans="1:7" x14ac:dyDescent="0.2">
      <c r="A59" s="890" t="s">
        <v>460</v>
      </c>
      <c r="B59" s="853" t="s">
        <v>1881</v>
      </c>
      <c r="C59" s="891" t="s">
        <v>982</v>
      </c>
      <c r="D59" s="853" t="s">
        <v>291</v>
      </c>
      <c r="F59" s="1911">
        <f>'Expenditures 15-22'!I151</f>
        <v>0</v>
      </c>
      <c r="G59" s="862"/>
    </row>
    <row r="60" spans="1:7" x14ac:dyDescent="0.2">
      <c r="A60" s="890" t="s">
        <v>499</v>
      </c>
      <c r="B60" s="853" t="s">
        <v>1882</v>
      </c>
      <c r="C60" s="891">
        <v>4000</v>
      </c>
      <c r="D60" s="853" t="s">
        <v>312</v>
      </c>
      <c r="F60" s="1909">
        <f>'Expenditures 15-22'!K160</f>
        <v>0</v>
      </c>
      <c r="G60" s="862"/>
    </row>
    <row r="61" spans="1:7" x14ac:dyDescent="0.2">
      <c r="A61" s="892" t="s">
        <v>499</v>
      </c>
      <c r="B61" s="892" t="s">
        <v>1883</v>
      </c>
      <c r="C61" s="893" t="str">
        <f>'Expenditures 15-22'!B170</f>
        <v>5300</v>
      </c>
      <c r="D61" s="894" t="s">
        <v>311</v>
      </c>
      <c r="E61" s="876"/>
      <c r="F61" s="1908">
        <f>'Expenditures 15-22'!K170</f>
        <v>0</v>
      </c>
      <c r="G61" s="862"/>
    </row>
    <row r="62" spans="1:7" x14ac:dyDescent="0.2">
      <c r="A62" s="866" t="s">
        <v>461</v>
      </c>
      <c r="B62" s="866" t="s">
        <v>1884</v>
      </c>
      <c r="C62" s="883">
        <f>'Expenditures 15-22'!B185</f>
        <v>3000</v>
      </c>
      <c r="D62" s="873" t="s">
        <v>449</v>
      </c>
      <c r="E62" s="865"/>
      <c r="F62" s="1908">
        <f>'Expenditures 15-22'!K185-SUM('Expenditures 15-22'!G185,'Expenditures 15-22'!I185)</f>
        <v>0</v>
      </c>
      <c r="G62" s="862"/>
    </row>
    <row r="63" spans="1:7" x14ac:dyDescent="0.2">
      <c r="A63" s="866" t="s">
        <v>461</v>
      </c>
      <c r="B63" s="866" t="s">
        <v>1885</v>
      </c>
      <c r="C63" s="883" t="str">
        <f>'Expenditures 15-22'!B196</f>
        <v>4000</v>
      </c>
      <c r="D63" s="884" t="str">
        <f>'Expenditures 15-22'!A196</f>
        <v>Total Payments to Other Govt Units</v>
      </c>
      <c r="E63" s="865"/>
      <c r="F63" s="1908">
        <f>'Expenditures 15-22'!K196</f>
        <v>0</v>
      </c>
      <c r="G63" s="862"/>
    </row>
    <row r="64" spans="1:7" x14ac:dyDescent="0.2">
      <c r="A64" s="892" t="s">
        <v>461</v>
      </c>
      <c r="B64" s="892" t="s">
        <v>1886</v>
      </c>
      <c r="C64" s="893" t="str">
        <f>'Expenditures 15-22'!B206</f>
        <v>5300</v>
      </c>
      <c r="D64" s="889" t="s">
        <v>311</v>
      </c>
      <c r="E64" s="865"/>
      <c r="F64" s="1908">
        <f>'Expenditures 15-22'!K206</f>
        <v>0</v>
      </c>
      <c r="G64" s="862"/>
    </row>
    <row r="65" spans="1:8" x14ac:dyDescent="0.2">
      <c r="A65" s="866" t="s">
        <v>461</v>
      </c>
      <c r="B65" s="866" t="s">
        <v>1887</v>
      </c>
      <c r="C65" s="883" t="s">
        <v>982</v>
      </c>
      <c r="D65" s="882" t="s">
        <v>1095</v>
      </c>
      <c r="E65" s="865"/>
      <c r="F65" s="1908">
        <f>'Expenditures 15-22'!G210</f>
        <v>0</v>
      </c>
      <c r="G65" s="862"/>
    </row>
    <row r="66" spans="1:8" x14ac:dyDescent="0.2">
      <c r="A66" s="866" t="s">
        <v>461</v>
      </c>
      <c r="B66" s="866" t="s">
        <v>1888</v>
      </c>
      <c r="C66" s="883" t="s">
        <v>982</v>
      </c>
      <c r="D66" s="882" t="s">
        <v>291</v>
      </c>
      <c r="E66" s="865"/>
      <c r="F66" s="1908">
        <f>'Expenditures 15-22'!I210</f>
        <v>0</v>
      </c>
      <c r="G66" s="862"/>
    </row>
    <row r="67" spans="1:8" x14ac:dyDescent="0.2">
      <c r="A67" s="866" t="s">
        <v>462</v>
      </c>
      <c r="B67" s="866" t="s">
        <v>1889</v>
      </c>
      <c r="C67" s="883" t="str">
        <f>'Expenditures 15-22'!B216</f>
        <v>1125</v>
      </c>
      <c r="D67" s="889" t="str">
        <f>'Expenditures 15-22'!A216</f>
        <v>Pre-K Programs</v>
      </c>
      <c r="E67" s="865"/>
      <c r="F67" s="1908">
        <f>'Expenditures 15-22'!K216</f>
        <v>0</v>
      </c>
      <c r="G67" s="862"/>
    </row>
    <row r="68" spans="1:8" x14ac:dyDescent="0.2">
      <c r="A68" s="866" t="s">
        <v>462</v>
      </c>
      <c r="B68" s="866" t="s">
        <v>1479</v>
      </c>
      <c r="C68" s="883" t="str">
        <f>'Expenditures 15-22'!B218</f>
        <v>1225</v>
      </c>
      <c r="D68" s="889" t="str">
        <f>'Expenditures 15-22'!A218</f>
        <v>Special Education Programs - Pre-K</v>
      </c>
      <c r="E68" s="865"/>
      <c r="F68" s="1908">
        <f>'Expenditures 15-22'!K218</f>
        <v>0</v>
      </c>
      <c r="G68" s="862"/>
    </row>
    <row r="69" spans="1:8" x14ac:dyDescent="0.2">
      <c r="A69" s="866" t="s">
        <v>462</v>
      </c>
      <c r="B69" s="866" t="s">
        <v>1890</v>
      </c>
      <c r="C69" s="883" t="str">
        <f>'Expenditures 15-22'!B220</f>
        <v>1275</v>
      </c>
      <c r="D69" s="889" t="str">
        <f>'Expenditures 15-22'!A220</f>
        <v>Remedial and Supplemental Programs - Pre-K</v>
      </c>
      <c r="E69" s="865"/>
      <c r="F69" s="1908">
        <f>'Expenditures 15-22'!K220</f>
        <v>0</v>
      </c>
      <c r="G69" s="862"/>
    </row>
    <row r="70" spans="1:8" x14ac:dyDescent="0.2">
      <c r="A70" s="866" t="s">
        <v>462</v>
      </c>
      <c r="B70" s="866" t="s">
        <v>1891</v>
      </c>
      <c r="C70" s="883">
        <f>'Expenditures 15-22'!B221</f>
        <v>1300</v>
      </c>
      <c r="D70" s="884" t="str">
        <f>'Expenditures 15-22'!A221</f>
        <v>Adult/Continuing Education Programs</v>
      </c>
      <c r="E70" s="865"/>
      <c r="F70" s="1908">
        <f>'Expenditures 15-22'!K221</f>
        <v>0</v>
      </c>
      <c r="G70" s="862"/>
    </row>
    <row r="71" spans="1:8" x14ac:dyDescent="0.2">
      <c r="A71" s="866" t="s">
        <v>462</v>
      </c>
      <c r="B71" s="866" t="s">
        <v>1892</v>
      </c>
      <c r="C71" s="883">
        <f>'Expenditures 15-22'!B224</f>
        <v>1600</v>
      </c>
      <c r="D71" s="884" t="str">
        <f>'Expenditures 15-22'!A224</f>
        <v>Summer School Programs</v>
      </c>
      <c r="E71" s="865"/>
      <c r="F71" s="1908">
        <f>'Expenditures 15-22'!K224</f>
        <v>0</v>
      </c>
      <c r="G71" s="862"/>
    </row>
    <row r="72" spans="1:8" x14ac:dyDescent="0.2">
      <c r="A72" s="866" t="s">
        <v>462</v>
      </c>
      <c r="B72" s="866" t="s">
        <v>1893</v>
      </c>
      <c r="C72" s="883">
        <f>'Expenditures 15-22'!B280</f>
        <v>3000</v>
      </c>
      <c r="D72" s="873" t="s">
        <v>449</v>
      </c>
      <c r="E72" s="865"/>
      <c r="F72" s="1908">
        <f>'Expenditures 15-22'!K280</f>
        <v>0</v>
      </c>
      <c r="G72" s="862"/>
    </row>
    <row r="73" spans="1:8" x14ac:dyDescent="0.2">
      <c r="A73" s="866" t="s">
        <v>462</v>
      </c>
      <c r="B73" s="866" t="s">
        <v>1894</v>
      </c>
      <c r="C73" s="883" t="str">
        <f>'Expenditures 15-22'!B285</f>
        <v>4000</v>
      </c>
      <c r="D73" s="884" t="str">
        <f>'Expenditures 15-22'!A285</f>
        <v>Total Payments to Other Govt Units</v>
      </c>
      <c r="E73" s="865"/>
      <c r="F73" s="1908">
        <f>'Expenditures 15-22'!K285</f>
        <v>0</v>
      </c>
      <c r="G73" s="862"/>
    </row>
    <row r="74" spans="1:8" x14ac:dyDescent="0.2">
      <c r="A74" s="866" t="s">
        <v>436</v>
      </c>
      <c r="B74" s="866" t="s">
        <v>1895</v>
      </c>
      <c r="C74" s="883" t="s">
        <v>860</v>
      </c>
      <c r="D74" s="884" t="s">
        <v>1487</v>
      </c>
      <c r="E74" s="865"/>
      <c r="F74" s="1912">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1896</v>
      </c>
      <c r="E76" s="1771" t="s">
        <v>958</v>
      </c>
      <c r="F76" s="1775">
        <f>SUM(F18:F74)</f>
        <v>529074</v>
      </c>
      <c r="G76" s="862"/>
    </row>
    <row r="77" spans="1:8" s="890" customFormat="1" ht="12" customHeight="1" thickTop="1" thickBot="1" x14ac:dyDescent="0.25">
      <c r="A77" s="1776"/>
      <c r="B77" s="1773"/>
      <c r="C77" s="1769"/>
      <c r="D77" s="1774" t="s">
        <v>1897</v>
      </c>
      <c r="E77" s="1771"/>
      <c r="F77" s="1777">
        <f>(F14-F76)</f>
        <v>7835168</v>
      </c>
      <c r="G77" s="866"/>
    </row>
    <row r="78" spans="1:8" s="890" customFormat="1" ht="12" customHeight="1" thickTop="1" x14ac:dyDescent="0.2">
      <c r="A78" s="1778"/>
      <c r="B78" s="1773"/>
      <c r="C78" s="1769"/>
      <c r="D78" s="1774" t="s">
        <v>2059</v>
      </c>
      <c r="E78" s="1771"/>
      <c r="F78" s="895">
        <v>0</v>
      </c>
      <c r="G78" s="896"/>
      <c r="H78" s="866"/>
    </row>
    <row r="79" spans="1:8" s="890" customFormat="1" ht="12" customHeight="1" thickBot="1" x14ac:dyDescent="0.25">
      <c r="A79" s="1779"/>
      <c r="B79" s="1773"/>
      <c r="C79" s="1769"/>
      <c r="D79" s="1774" t="s">
        <v>1898</v>
      </c>
      <c r="E79" s="1771" t="s">
        <v>958</v>
      </c>
      <c r="F79" s="1780" t="str">
        <f>IF(F78&gt;0,F77/F78," Complete Line 78")</f>
        <v xml:space="preserve"> Complete Line 78</v>
      </c>
      <c r="G79" s="866"/>
    </row>
    <row r="80" spans="1:8" s="890" customFormat="1" ht="8.25" customHeight="1" thickTop="1" x14ac:dyDescent="0.2">
      <c r="A80" s="897"/>
      <c r="B80" s="866"/>
      <c r="C80" s="868"/>
      <c r="D80" s="898"/>
      <c r="E80" s="865"/>
      <c r="F80" s="899"/>
      <c r="G80" s="866"/>
    </row>
    <row r="81" spans="1:7" s="890" customFormat="1" ht="12" thickBot="1" x14ac:dyDescent="0.25">
      <c r="A81" s="2355" t="s">
        <v>1105</v>
      </c>
      <c r="B81" s="2356"/>
      <c r="C81" s="2356"/>
      <c r="D81" s="2356"/>
      <c r="E81" s="2356"/>
      <c r="F81" s="2357"/>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2">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0</v>
      </c>
      <c r="G94" s="909"/>
    </row>
    <row r="95" spans="1:7" x14ac:dyDescent="0.2">
      <c r="A95" s="905" t="s">
        <v>140</v>
      </c>
      <c r="B95" s="905" t="s">
        <v>175</v>
      </c>
      <c r="C95" s="907">
        <v>1700</v>
      </c>
      <c r="D95" s="915" t="str">
        <f>'Revenues 9-14'!A82</f>
        <v>Total District/School Activity Income</v>
      </c>
      <c r="E95" s="903"/>
      <c r="F95" s="1786">
        <f>SUM('Revenues 9-14'!C82,'Revenues 9-14'!D82)</f>
        <v>0</v>
      </c>
      <c r="G95" s="909"/>
    </row>
    <row r="96" spans="1:7" x14ac:dyDescent="0.2">
      <c r="A96" s="905" t="s">
        <v>459</v>
      </c>
      <c r="B96" s="905" t="s">
        <v>176</v>
      </c>
      <c r="C96" s="907">
        <f>'Revenues 9-14'!B84</f>
        <v>1811</v>
      </c>
      <c r="D96" s="908" t="str">
        <f>'Revenues 9-14'!A84</f>
        <v>Rentals - Regular Textbooks</v>
      </c>
      <c r="E96" s="903"/>
      <c r="F96" s="1786">
        <f>'Revenues 9-14'!C84</f>
        <v>0</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1037</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2000</v>
      </c>
      <c r="C105" s="910">
        <v>3100</v>
      </c>
      <c r="D105" s="916" t="str">
        <f>'Revenues 9-14'!A132</f>
        <v>Total Special Education</v>
      </c>
      <c r="E105" s="903"/>
      <c r="F105" s="1786">
        <f>SUM('Revenues 9-14'!C132:D132,'Revenues 9-14'!F132)</f>
        <v>0</v>
      </c>
      <c r="G105" s="909"/>
    </row>
    <row r="106" spans="1:7" x14ac:dyDescent="0.2">
      <c r="A106" s="905" t="s">
        <v>673</v>
      </c>
      <c r="B106" s="905" t="s">
        <v>2001</v>
      </c>
      <c r="C106" s="917">
        <v>3200</v>
      </c>
      <c r="D106" s="908" t="str">
        <f>'Revenues 9-14'!A141</f>
        <v>Total Career and Technical Education</v>
      </c>
      <c r="E106" s="903"/>
      <c r="F106" s="1786">
        <f>SUM('Revenues 9-14'!C141,'Revenues 9-14'!D141,'Revenues 9-14'!G141)</f>
        <v>0</v>
      </c>
      <c r="G106" s="909"/>
    </row>
    <row r="107" spans="1:7" x14ac:dyDescent="0.2">
      <c r="A107" s="918" t="s">
        <v>664</v>
      </c>
      <c r="B107" s="905" t="s">
        <v>2002</v>
      </c>
      <c r="C107" s="917">
        <v>3300</v>
      </c>
      <c r="D107" s="908" t="str">
        <f>'Revenues 9-14'!A145</f>
        <v>Total Bilingual Ed</v>
      </c>
      <c r="E107" s="903"/>
      <c r="F107" s="1786">
        <f>SUM('Revenues 9-14'!C145,'Revenues 9-14'!G145)</f>
        <v>0</v>
      </c>
      <c r="G107" s="909"/>
    </row>
    <row r="108" spans="1:7" x14ac:dyDescent="0.2">
      <c r="A108" s="905" t="s">
        <v>459</v>
      </c>
      <c r="B108" s="905" t="s">
        <v>2003</v>
      </c>
      <c r="C108" s="917">
        <f>'Revenues 9-14'!B146</f>
        <v>3360</v>
      </c>
      <c r="D108" s="908" t="str">
        <f>'Revenues 9-14'!A146</f>
        <v>State Free Lunch &amp; Breakfast</v>
      </c>
      <c r="E108" s="903"/>
      <c r="F108" s="1786">
        <f>'Revenues 9-14'!C146</f>
        <v>818</v>
      </c>
      <c r="G108" s="909"/>
    </row>
    <row r="109" spans="1:7" x14ac:dyDescent="0.2">
      <c r="A109" s="905" t="s">
        <v>673</v>
      </c>
      <c r="B109" s="905" t="s">
        <v>2004</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2005</v>
      </c>
      <c r="C110" s="917">
        <f>'Revenues 9-14'!B148</f>
        <v>3370</v>
      </c>
      <c r="D110" s="908" t="str">
        <f>'Revenues 9-14'!A148</f>
        <v>Driver Education</v>
      </c>
      <c r="E110" s="903"/>
      <c r="F110" s="1786">
        <f>SUM('Revenues 9-14'!C148,'Revenues 9-14'!D148)</f>
        <v>0</v>
      </c>
      <c r="G110" s="909"/>
    </row>
    <row r="111" spans="1:7" x14ac:dyDescent="0.2">
      <c r="A111" s="905" t="s">
        <v>668</v>
      </c>
      <c r="B111" s="905" t="s">
        <v>2006</v>
      </c>
      <c r="C111" s="919">
        <v>3500</v>
      </c>
      <c r="D111" s="908" t="str">
        <f>'Revenues 9-14'!A155</f>
        <v>Total Transportation</v>
      </c>
      <c r="E111" s="903"/>
      <c r="F111" s="1786">
        <f>SUM('Revenues 9-14'!C155,'Revenues 9-14'!D155,'Revenues 9-14'!F155,'Revenues 9-14'!G155)</f>
        <v>0</v>
      </c>
      <c r="G111" s="909"/>
    </row>
    <row r="112" spans="1:7" x14ac:dyDescent="0.2">
      <c r="A112" s="905" t="s">
        <v>459</v>
      </c>
      <c r="B112" s="905" t="s">
        <v>2007</v>
      </c>
      <c r="C112" s="917">
        <f>'Revenues 9-14'!B156</f>
        <v>3610</v>
      </c>
      <c r="D112" s="908" t="str">
        <f>'Revenues 9-14'!A156</f>
        <v>Learning Improvement - Change Grants</v>
      </c>
      <c r="E112" s="903"/>
      <c r="F112" s="1786">
        <f>'Revenues 9-14'!C156</f>
        <v>0</v>
      </c>
      <c r="G112" s="909"/>
    </row>
    <row r="113" spans="1:7" x14ac:dyDescent="0.2">
      <c r="A113" s="905" t="s">
        <v>668</v>
      </c>
      <c r="B113" s="905" t="s">
        <v>2008</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2009</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2010</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2011</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2012</v>
      </c>
      <c r="C117" s="921">
        <f>'Revenues 9-14'!B162</f>
        <v>3775</v>
      </c>
      <c r="D117" s="922" t="str">
        <f>'Revenues 9-14'!A162</f>
        <v>School Safety &amp; Educational Improvement Block Grant</v>
      </c>
      <c r="E117" s="903"/>
      <c r="F117" s="1902">
        <f>SUM('Revenues 9-14'!C162,'Revenues 9-14'!D162,'Revenues 9-14'!E162,'Revenues 9-14'!F162,'Revenues 9-14'!G162)</f>
        <v>0</v>
      </c>
      <c r="G117" s="909"/>
    </row>
    <row r="118" spans="1:7" x14ac:dyDescent="0.2">
      <c r="A118" s="920" t="s">
        <v>1009</v>
      </c>
      <c r="B118" s="920" t="s">
        <v>2013</v>
      </c>
      <c r="C118" s="921">
        <f>'Revenues 9-14'!B163</f>
        <v>3780</v>
      </c>
      <c r="D118" s="922" t="str">
        <f>'Revenues 9-14'!A163</f>
        <v>Technology - Technology for Success</v>
      </c>
      <c r="E118" s="903"/>
      <c r="F118" s="1902">
        <f>SUM('Revenues 9-14'!C163:G163)</f>
        <v>0</v>
      </c>
      <c r="G118" s="909"/>
    </row>
    <row r="119" spans="1:7" x14ac:dyDescent="0.2">
      <c r="A119" s="920" t="s">
        <v>504</v>
      </c>
      <c r="B119" s="920" t="s">
        <v>2014</v>
      </c>
      <c r="C119" s="921">
        <f>'Revenues 9-14'!B164</f>
        <v>3815</v>
      </c>
      <c r="D119" s="922" t="str">
        <f>'Revenues 9-14'!A164</f>
        <v>State Charter Schools</v>
      </c>
      <c r="E119" s="903"/>
      <c r="F119" s="1902">
        <f>SUM('Revenues 9-14'!C164,'Revenues 9-14'!F164)</f>
        <v>0</v>
      </c>
      <c r="G119" s="909"/>
    </row>
    <row r="120" spans="1:7" x14ac:dyDescent="0.2">
      <c r="A120" s="924" t="s">
        <v>460</v>
      </c>
      <c r="B120" s="924" t="s">
        <v>2015</v>
      </c>
      <c r="C120" s="925">
        <f>'Revenues 9-14'!B167</f>
        <v>3925</v>
      </c>
      <c r="D120" s="926" t="str">
        <f>'Revenues 9-14'!A167</f>
        <v>School Infrastructure - Maintenance Projects</v>
      </c>
      <c r="E120" s="903"/>
      <c r="F120" s="1786">
        <f>'Revenues 9-14'!D167</f>
        <v>0</v>
      </c>
      <c r="G120" s="927"/>
    </row>
    <row r="121" spans="1:7" x14ac:dyDescent="0.2">
      <c r="A121" s="924" t="s">
        <v>500</v>
      </c>
      <c r="B121" s="924" t="s">
        <v>2016</v>
      </c>
      <c r="C121" s="925">
        <f>'Revenues 9-14'!B168</f>
        <v>3999</v>
      </c>
      <c r="D121" s="926" t="s">
        <v>543</v>
      </c>
      <c r="E121" s="928"/>
      <c r="F121" s="1786">
        <f>SUM('Revenues 9-14'!C168:G168,'Revenues 9-14'!J168)</f>
        <v>0</v>
      </c>
      <c r="G121" s="927"/>
    </row>
    <row r="122" spans="1:7" x14ac:dyDescent="0.2">
      <c r="A122" s="924" t="s">
        <v>459</v>
      </c>
      <c r="B122" s="924" t="s">
        <v>2017</v>
      </c>
      <c r="C122" s="929">
        <f>'Revenues 9-14'!B177</f>
        <v>4045</v>
      </c>
      <c r="D122" s="926" t="str">
        <f>'Revenues 9-14'!A177 &amp; " (Subtract)"</f>
        <v>Head Start (Subtract)</v>
      </c>
      <c r="E122" s="903"/>
      <c r="F122" s="1786">
        <f>SUM(-'Revenues 9-14'!C177)</f>
        <v>0</v>
      </c>
      <c r="G122" s="927"/>
    </row>
    <row r="123" spans="1:7" x14ac:dyDescent="0.2">
      <c r="A123" s="924" t="s">
        <v>668</v>
      </c>
      <c r="B123" s="924" t="s">
        <v>2018</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2019</v>
      </c>
      <c r="C124" s="929">
        <v>4100</v>
      </c>
      <c r="D124" s="930" t="str">
        <f>'Revenues 9-14'!A188</f>
        <v>Total Title V</v>
      </c>
      <c r="E124" s="903"/>
      <c r="F124" s="1786">
        <f>SUM('Revenues 9-14'!C188,'Revenues 9-14'!D188,'Revenues 9-14'!F188,'Revenues 9-14'!G188)</f>
        <v>0</v>
      </c>
      <c r="G124" s="927"/>
    </row>
    <row r="125" spans="1:7" x14ac:dyDescent="0.2">
      <c r="A125" s="924" t="s">
        <v>664</v>
      </c>
      <c r="B125" s="924" t="s">
        <v>2020</v>
      </c>
      <c r="C125" s="929">
        <v>4200</v>
      </c>
      <c r="D125" s="926" t="str">
        <f>'Revenues 9-14'!A198</f>
        <v>Total Food Service</v>
      </c>
      <c r="E125" s="903"/>
      <c r="F125" s="1786">
        <f>SUM('Revenues 9-14'!C198,'Revenues 9-14'!G198)</f>
        <v>36622</v>
      </c>
      <c r="G125" s="927"/>
    </row>
    <row r="126" spans="1:7" x14ac:dyDescent="0.2">
      <c r="A126" s="924" t="s">
        <v>668</v>
      </c>
      <c r="B126" s="924" t="s">
        <v>2021</v>
      </c>
      <c r="C126" s="929">
        <v>4300</v>
      </c>
      <c r="D126" s="930" t="str">
        <f>'Revenues 9-14'!A204</f>
        <v>Total Title I</v>
      </c>
      <c r="E126" s="903"/>
      <c r="F126" s="1786">
        <f>SUM('Revenues 9-14'!C204,'Revenues 9-14'!D204,'Revenues 9-14'!F204,'Revenues 9-14'!G204)</f>
        <v>0</v>
      </c>
      <c r="G126" s="927"/>
    </row>
    <row r="127" spans="1:7" x14ac:dyDescent="0.2">
      <c r="A127" s="924" t="s">
        <v>668</v>
      </c>
      <c r="B127" s="924" t="s">
        <v>2022</v>
      </c>
      <c r="C127" s="929">
        <v>4400</v>
      </c>
      <c r="D127" s="930" t="str">
        <f>'Revenues 9-14'!A209</f>
        <v>Total Title IV</v>
      </c>
      <c r="E127" s="903"/>
      <c r="F127" s="1786">
        <f>SUM('Revenues 9-14'!C209,'Revenues 9-14'!D209,'Revenues 9-14'!F209,'Revenues 9-14'!G209)</f>
        <v>0</v>
      </c>
      <c r="G127" s="927"/>
    </row>
    <row r="128" spans="1:7" x14ac:dyDescent="0.2">
      <c r="A128" s="924" t="s">
        <v>668</v>
      </c>
      <c r="B128" s="924" t="s">
        <v>2023</v>
      </c>
      <c r="C128" s="929">
        <f>'Revenues 9-14'!B213</f>
        <v>4620</v>
      </c>
      <c r="D128" s="930" t="str">
        <f>'Revenues 9-14'!A213</f>
        <v>Fed - Spec Education - IDEA - Flow Through</v>
      </c>
      <c r="E128" s="903"/>
      <c r="F128" s="1786">
        <f>SUM('Revenues 9-14'!C213:D213,'Revenues 9-14'!F213:G213)</f>
        <v>1577503</v>
      </c>
      <c r="G128" s="927"/>
    </row>
    <row r="129" spans="1:7" x14ac:dyDescent="0.2">
      <c r="A129" s="924" t="s">
        <v>668</v>
      </c>
      <c r="B129" s="924" t="s">
        <v>2024</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2025</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2026</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2027</v>
      </c>
      <c r="C133" s="932" t="s">
        <v>207</v>
      </c>
      <c r="D133" s="933" t="str">
        <f>'Revenues 9-14'!A224</f>
        <v>ARRA - Title I - Low Income</v>
      </c>
      <c r="E133" s="934"/>
      <c r="F133" s="1902">
        <f>SUM('Revenues 9-14'!$C$224:$D$224,'Revenues 9-14'!$F$224:$G$224)</f>
        <v>0</v>
      </c>
      <c r="G133" s="902"/>
    </row>
    <row r="134" spans="1:7" s="864" customFormat="1" hidden="1" x14ac:dyDescent="0.2">
      <c r="A134" s="931" t="s">
        <v>206</v>
      </c>
      <c r="B134" s="931" t="s">
        <v>2028</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2029</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2030</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2031</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2032</v>
      </c>
      <c r="C138" s="932" t="s">
        <v>212</v>
      </c>
      <c r="D138" s="933" t="str">
        <f>'Revenues 9-14'!A229</f>
        <v>ARRA - IDEA - Part B - Preschool</v>
      </c>
      <c r="E138" s="934"/>
      <c r="F138" s="1786">
        <v>0</v>
      </c>
      <c r="G138" s="902"/>
    </row>
    <row r="139" spans="1:7" s="864" customFormat="1" hidden="1" x14ac:dyDescent="0.2">
      <c r="A139" s="931" t="s">
        <v>206</v>
      </c>
      <c r="B139" s="931" t="s">
        <v>2033</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2034</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2035</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2036</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2037</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2038</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2039</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2040</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2041</v>
      </c>
      <c r="C157" s="937" t="s">
        <v>841</v>
      </c>
      <c r="D157" s="938" t="s">
        <v>777</v>
      </c>
      <c r="E157" s="939"/>
      <c r="F157" s="1786">
        <f>SUM(F133:F156)</f>
        <v>0</v>
      </c>
      <c r="G157" s="902"/>
    </row>
    <row r="158" spans="1:7" s="864" customFormat="1" x14ac:dyDescent="0.2">
      <c r="A158" s="935" t="s">
        <v>459</v>
      </c>
      <c r="B158" s="936" t="s">
        <v>2042</v>
      </c>
      <c r="C158" s="937" t="s">
        <v>1427</v>
      </c>
      <c r="D158" s="938" t="s">
        <v>1428</v>
      </c>
      <c r="E158" s="939"/>
      <c r="F158" s="1786">
        <f>SUM('Revenues 9-14'!C253)</f>
        <v>0</v>
      </c>
      <c r="G158" s="902"/>
    </row>
    <row r="159" spans="1:7" s="864" customFormat="1" x14ac:dyDescent="0.2">
      <c r="A159" s="935" t="s">
        <v>500</v>
      </c>
      <c r="B159" s="936" t="s">
        <v>2043</v>
      </c>
      <c r="C159" s="937" t="s">
        <v>1466</v>
      </c>
      <c r="D159" s="938" t="s">
        <v>1467</v>
      </c>
      <c r="E159" s="939"/>
      <c r="F159" s="1786">
        <f>SUM('Revenues 9-14'!C254:H254,'Revenues 9-14'!J254:K254)</f>
        <v>0</v>
      </c>
      <c r="G159" s="902"/>
    </row>
    <row r="160" spans="1:7" x14ac:dyDescent="0.2">
      <c r="A160" s="924" t="s">
        <v>5</v>
      </c>
      <c r="B160" s="924" t="s">
        <v>2044</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2045</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2046</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2047</v>
      </c>
      <c r="C163" s="942">
        <f>'Revenues 9-14'!B258</f>
        <v>4930</v>
      </c>
      <c r="D163" s="943" t="str">
        <f>'Revenues 9-14'!A258</f>
        <v>Title II - Eisenhower Professional Development Formula</v>
      </c>
      <c r="E163" s="923"/>
      <c r="F163" s="1902">
        <f>SUM('Revenues 9-14'!C258:D258,'Revenues 9-14'!F258,'Revenues 9-14'!G258)</f>
        <v>0</v>
      </c>
      <c r="G163" s="927"/>
    </row>
    <row r="164" spans="1:7" x14ac:dyDescent="0.2">
      <c r="A164" s="924" t="s">
        <v>668</v>
      </c>
      <c r="B164" s="924" t="s">
        <v>2048</v>
      </c>
      <c r="C164" s="929">
        <f>'Revenues 9-14'!B259</f>
        <v>4932</v>
      </c>
      <c r="D164" s="930" t="str">
        <f>'Revenues 9-14'!A259</f>
        <v>Title II - Teacher Quality</v>
      </c>
      <c r="E164" s="903"/>
      <c r="F164" s="1902">
        <f>SUM('Revenues 9-14'!C259,'Revenues 9-14'!D259,'Revenues 9-14'!F259,'Revenues 9-14'!G259)</f>
        <v>0</v>
      </c>
      <c r="G164" s="927"/>
    </row>
    <row r="165" spans="1:7" x14ac:dyDescent="0.2">
      <c r="A165" s="924" t="s">
        <v>668</v>
      </c>
      <c r="B165" s="924" t="s">
        <v>2049</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1994</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1995</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2050</v>
      </c>
      <c r="C168" s="929">
        <f>'Revenues 9-14'!B263</f>
        <v>4991</v>
      </c>
      <c r="D168" s="930" t="str">
        <f>'Revenues 9-14'!A263</f>
        <v>Medicaid Matching Funds - Administrative Outreach</v>
      </c>
      <c r="E168" s="903"/>
      <c r="F168" s="1786">
        <f>SUM('Revenues 9-14'!C263:D263,'Revenues 9-14'!F263:G263)</f>
        <v>76118</v>
      </c>
      <c r="G168" s="944">
        <v>6320</v>
      </c>
    </row>
    <row r="169" spans="1:7" x14ac:dyDescent="0.2">
      <c r="A169" s="924" t="s">
        <v>668</v>
      </c>
      <c r="B169" s="924" t="s">
        <v>2051</v>
      </c>
      <c r="C169" s="929">
        <f>'Revenues 9-14'!B264</f>
        <v>4992</v>
      </c>
      <c r="D169" s="930" t="str">
        <f>'Revenues 9-14'!A264</f>
        <v>Medicaid Matching Funds - Fee-for-Service Program</v>
      </c>
      <c r="E169" s="903"/>
      <c r="F169" s="1786">
        <f>SUM('Revenues 9-14'!C264:D264,'Revenues 9-14'!F264:G264)</f>
        <v>103954</v>
      </c>
      <c r="G169" s="944"/>
    </row>
    <row r="170" spans="1:7" x14ac:dyDescent="0.2">
      <c r="A170" s="945" t="s">
        <v>668</v>
      </c>
      <c r="B170" s="941" t="s">
        <v>2052</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3" t="s">
        <v>5</v>
      </c>
      <c r="B171" s="1914" t="s">
        <v>1917</v>
      </c>
      <c r="C171" s="1915">
        <v>3100</v>
      </c>
      <c r="D171" s="1916" t="s">
        <v>1919</v>
      </c>
      <c r="E171" s="903"/>
      <c r="F171" s="1901"/>
      <c r="G171" s="924"/>
    </row>
    <row r="172" spans="1:7" x14ac:dyDescent="0.2">
      <c r="A172" s="1913" t="s">
        <v>664</v>
      </c>
      <c r="B172" s="1914" t="s">
        <v>1917</v>
      </c>
      <c r="C172" s="1915">
        <v>3300</v>
      </c>
      <c r="D172" s="1916" t="s">
        <v>1920</v>
      </c>
      <c r="E172" s="903"/>
      <c r="F172" s="1901"/>
      <c r="G172" s="924"/>
    </row>
    <row r="173" spans="1:7" ht="6" customHeight="1" x14ac:dyDescent="0.2">
      <c r="A173" s="924"/>
      <c r="B173" s="924"/>
      <c r="C173" s="946"/>
      <c r="D173" s="924"/>
      <c r="E173" s="903"/>
      <c r="F173" s="947"/>
      <c r="G173" s="944"/>
    </row>
    <row r="174" spans="1:7" x14ac:dyDescent="0.2">
      <c r="A174" s="1767"/>
      <c r="B174" s="1781"/>
      <c r="C174" s="1782"/>
      <c r="D174" s="1783" t="s">
        <v>2053</v>
      </c>
      <c r="E174" s="1784" t="s">
        <v>958</v>
      </c>
      <c r="F174" s="1785">
        <f>SUM(F84:F132,F157:F172)</f>
        <v>1796052</v>
      </c>
    </row>
    <row r="175" spans="1:7" ht="12" customHeight="1" x14ac:dyDescent="0.2">
      <c r="A175" s="1767"/>
      <c r="B175" s="1781"/>
      <c r="C175" s="1782"/>
      <c r="D175" s="1783" t="s">
        <v>2054</v>
      </c>
      <c r="E175" s="1784"/>
      <c r="F175" s="1786">
        <f>'PCTC-OEPP 27-28'!F77-F174</f>
        <v>6039116</v>
      </c>
    </row>
    <row r="176" spans="1:7" ht="12" customHeight="1" x14ac:dyDescent="0.2">
      <c r="A176" s="1767"/>
      <c r="B176" s="1781"/>
      <c r="C176" s="1782"/>
      <c r="D176" s="1783" t="s">
        <v>1814</v>
      </c>
      <c r="E176" s="1784"/>
      <c r="F176" s="1786">
        <f>'Cap Outlay Deprec 26'!I18</f>
        <v>24050.799999999999</v>
      </c>
    </row>
    <row r="177" spans="1:7" ht="12" customHeight="1" x14ac:dyDescent="0.2">
      <c r="A177" s="1767"/>
      <c r="B177" s="1781"/>
      <c r="C177" s="1782"/>
      <c r="D177" s="1783" t="s">
        <v>2055</v>
      </c>
      <c r="E177" s="1784"/>
      <c r="F177" s="1786">
        <f>F175+F176</f>
        <v>6063166.7999999998</v>
      </c>
    </row>
    <row r="178" spans="1:7" ht="12" customHeight="1" x14ac:dyDescent="0.2">
      <c r="A178" s="1767"/>
      <c r="B178" s="1787"/>
      <c r="C178" s="1782"/>
      <c r="D178" s="1783" t="str">
        <f>D78</f>
        <v>9 Month ADA from District Average Daily Attendance/Prior General State Aid Inquiry 2018-2019</v>
      </c>
      <c r="E178" s="1784"/>
      <c r="F178" s="1788">
        <f>'PCTC-OEPP 27-28'!F78</f>
        <v>0</v>
      </c>
      <c r="G178" s="927"/>
    </row>
    <row r="179" spans="1:7" ht="12" customHeight="1" thickBot="1" x14ac:dyDescent="0.25">
      <c r="A179" s="1767"/>
      <c r="B179" s="1787"/>
      <c r="C179" s="1782"/>
      <c r="D179" s="1783" t="s">
        <v>2056</v>
      </c>
      <c r="E179" s="1784" t="s">
        <v>1545</v>
      </c>
      <c r="F179" s="1789" t="e">
        <f>F177/F178</f>
        <v>#DIV/0!</v>
      </c>
      <c r="G179" s="853">
        <v>6323</v>
      </c>
    </row>
    <row r="180" spans="1:7" ht="12" thickTop="1" x14ac:dyDescent="0.2">
      <c r="B180" s="927"/>
      <c r="C180" s="946"/>
      <c r="D180" s="927"/>
      <c r="E180" s="946"/>
      <c r="F180" s="927"/>
      <c r="G180" s="948">
        <v>6326</v>
      </c>
    </row>
    <row r="181" spans="1:7" ht="12.2" customHeight="1" x14ac:dyDescent="0.2">
      <c r="A181" s="927" t="s">
        <v>1918</v>
      </c>
      <c r="B181" s="927"/>
      <c r="C181" s="946"/>
      <c r="D181" s="927"/>
      <c r="E181" s="946"/>
      <c r="F181" s="927"/>
      <c r="G181" s="927"/>
    </row>
    <row r="182" spans="1:7" s="1917" customFormat="1" ht="12.2" customHeight="1" x14ac:dyDescent="0.2">
      <c r="A182" s="1917" t="s">
        <v>1991</v>
      </c>
      <c r="B182" s="1918"/>
      <c r="C182" s="1919"/>
      <c r="D182" s="1918"/>
      <c r="E182" s="1919"/>
      <c r="F182" s="1918"/>
      <c r="G182" s="1918"/>
    </row>
    <row r="183" spans="1:7" s="1917" customFormat="1" ht="12.2" customHeight="1" x14ac:dyDescent="0.2">
      <c r="A183" s="1920" t="s">
        <v>1993</v>
      </c>
      <c r="C183" s="1919"/>
      <c r="D183" s="1918"/>
      <c r="E183" s="1919"/>
      <c r="F183" s="1918"/>
      <c r="G183" s="1918"/>
    </row>
    <row r="184" spans="1:7" ht="12" customHeight="1" x14ac:dyDescent="0.2">
      <c r="C184" s="946"/>
      <c r="D184" s="927"/>
      <c r="E184" s="946"/>
      <c r="F184" s="927"/>
      <c r="G184" s="927"/>
    </row>
    <row r="185" spans="1:7" x14ac:dyDescent="0.2">
      <c r="A185" s="1921" t="s">
        <v>1922</v>
      </c>
      <c r="B185" s="1922" t="s">
        <v>1921</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4" zoomScaleNormal="100" workbookViewId="0">
      <selection activeCell="L31" sqref="L31"/>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1829</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369" t="s">
        <v>1815</v>
      </c>
      <c r="B4" s="2370"/>
      <c r="C4" s="2370"/>
      <c r="D4" s="2370"/>
      <c r="E4" s="2370"/>
      <c r="F4" s="2370"/>
      <c r="G4" s="2371"/>
    </row>
    <row r="5" spans="1:7" x14ac:dyDescent="0.25">
      <c r="A5" s="2372"/>
      <c r="B5" s="2373"/>
      <c r="C5" s="2373"/>
      <c r="D5" s="2373"/>
      <c r="E5" s="2373"/>
      <c r="F5" s="2373"/>
      <c r="G5" s="2374"/>
    </row>
    <row r="6" spans="1:7" ht="18.75" x14ac:dyDescent="0.25">
      <c r="A6" s="1531" t="s">
        <v>1816</v>
      </c>
      <c r="B6" s="1532"/>
      <c r="C6" s="1532"/>
      <c r="D6" s="1532"/>
      <c r="E6" s="1532"/>
      <c r="F6" s="1532"/>
      <c r="G6" s="1533"/>
    </row>
    <row r="7" spans="1:7" ht="30.75" customHeight="1" x14ac:dyDescent="0.25">
      <c r="A7" s="2375" t="s">
        <v>1929</v>
      </c>
      <c r="B7" s="2376"/>
      <c r="C7" s="2376"/>
      <c r="D7" s="2376"/>
      <c r="E7" s="2376"/>
      <c r="F7" s="2376"/>
      <c r="G7" s="2377"/>
    </row>
    <row r="8" spans="1:7" ht="15.75" customHeight="1" x14ac:dyDescent="0.25">
      <c r="A8" s="2378" t="s">
        <v>1904</v>
      </c>
      <c r="B8" s="2379"/>
      <c r="C8" s="2379"/>
      <c r="D8" s="2379"/>
      <c r="E8" s="2379"/>
      <c r="F8" s="2379"/>
      <c r="G8" s="2380"/>
    </row>
    <row r="9" spans="1:7" ht="35.25" customHeight="1" x14ac:dyDescent="0.25">
      <c r="A9" s="2375" t="s">
        <v>1932</v>
      </c>
      <c r="B9" s="2376"/>
      <c r="C9" s="2376"/>
      <c r="D9" s="2376"/>
      <c r="E9" s="2376"/>
      <c r="F9" s="2376"/>
      <c r="G9" s="2377"/>
    </row>
    <row r="10" spans="1:7" ht="15" customHeight="1" x14ac:dyDescent="0.25">
      <c r="A10" s="1534" t="s">
        <v>1817</v>
      </c>
      <c r="B10" s="1535"/>
      <c r="C10" s="1535"/>
      <c r="D10" s="1535"/>
      <c r="E10" s="1535"/>
      <c r="F10" s="1535"/>
      <c r="G10" s="1536"/>
    </row>
    <row r="11" spans="1:7" ht="17.25" customHeight="1" x14ac:dyDescent="0.25">
      <c r="A11" s="2375" t="s">
        <v>1931</v>
      </c>
      <c r="B11" s="2376"/>
      <c r="C11" s="2376"/>
      <c r="D11" s="2376"/>
      <c r="E11" s="2376"/>
      <c r="F11" s="2376"/>
      <c r="G11" s="2377"/>
    </row>
    <row r="12" spans="1:7" ht="15" customHeight="1" x14ac:dyDescent="0.25">
      <c r="A12" s="1534" t="s">
        <v>1822</v>
      </c>
      <c r="B12" s="1535"/>
      <c r="C12" s="1535"/>
      <c r="D12" s="1535"/>
      <c r="E12" s="1535"/>
      <c r="F12" s="1535"/>
      <c r="G12" s="1536"/>
    </row>
    <row r="13" spans="1:7" ht="32.25" customHeight="1" x14ac:dyDescent="0.25">
      <c r="A13" s="2366" t="s">
        <v>1973</v>
      </c>
      <c r="B13" s="2367"/>
      <c r="C13" s="2367"/>
      <c r="D13" s="2367"/>
      <c r="E13" s="2367"/>
      <c r="F13" s="2367"/>
      <c r="G13" s="2368"/>
    </row>
    <row r="14" spans="1:7" x14ac:dyDescent="0.25">
      <c r="A14" s="1658" t="s">
        <v>1830</v>
      </c>
      <c r="B14" s="1659"/>
      <c r="C14" s="1659"/>
      <c r="D14" s="1659"/>
      <c r="E14" s="1659"/>
      <c r="F14" s="1659"/>
      <c r="G14" s="1660"/>
    </row>
    <row r="15" spans="1:7" ht="61.5" customHeight="1" x14ac:dyDescent="0.25">
      <c r="A15" s="1543" t="s">
        <v>1823</v>
      </c>
      <c r="B15" s="1543" t="s">
        <v>1824</v>
      </c>
      <c r="C15" s="1543" t="s">
        <v>1825</v>
      </c>
      <c r="D15" s="1544" t="s">
        <v>1826</v>
      </c>
      <c r="E15" s="1544" t="s">
        <v>1818</v>
      </c>
      <c r="F15" s="1544" t="s">
        <v>1827</v>
      </c>
      <c r="G15" s="1544" t="s">
        <v>1828</v>
      </c>
    </row>
    <row r="16" spans="1:7" x14ac:dyDescent="0.25">
      <c r="A16" s="1645" t="s">
        <v>1831</v>
      </c>
      <c r="B16" s="1646" t="s">
        <v>1821</v>
      </c>
      <c r="C16" s="1647" t="s">
        <v>1819</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38" t="s">
        <v>2097</v>
      </c>
      <c r="B17" s="1936" t="s">
        <v>2096</v>
      </c>
      <c r="C17" s="1937" t="s">
        <v>2095</v>
      </c>
      <c r="D17" s="1841">
        <v>60981</v>
      </c>
      <c r="E17" s="1537">
        <f t="shared" ref="E17:E141" si="0">IF(D17&lt;=25000,D17,IF(D17&gt;25000,25000,0))</f>
        <v>25000</v>
      </c>
      <c r="F17" s="1927">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35981</v>
      </c>
      <c r="H17" s="1644"/>
    </row>
    <row r="18" spans="1:8" x14ac:dyDescent="0.25">
      <c r="A18" s="1650"/>
      <c r="B18" s="1929"/>
      <c r="C18" s="1653"/>
      <c r="D18" s="1841"/>
      <c r="E18" s="1537">
        <f t="shared" ref="E18:E140" si="2">IF(D18&lt;=25000,D18,IF(D18&gt;25000,25000,0))</f>
        <v>0</v>
      </c>
      <c r="F18" s="1927">
        <f t="shared" si="1"/>
        <v>0</v>
      </c>
      <c r="G18" s="1790">
        <f t="shared" ref="G18:G140" si="3">IF(F18=0,0,D18-F18)</f>
        <v>0</v>
      </c>
    </row>
    <row r="19" spans="1:8" x14ac:dyDescent="0.25">
      <c r="A19" s="1650"/>
      <c r="B19" s="1929"/>
      <c r="C19" s="1653"/>
      <c r="D19" s="1841"/>
      <c r="E19" s="1537">
        <f t="shared" si="2"/>
        <v>0</v>
      </c>
      <c r="F19" s="1927">
        <f t="shared" si="1"/>
        <v>0</v>
      </c>
      <c r="G19" s="1790">
        <f t="shared" si="3"/>
        <v>0</v>
      </c>
    </row>
    <row r="20" spans="1:8" x14ac:dyDescent="0.25">
      <c r="A20" s="1650"/>
      <c r="B20" s="1929"/>
      <c r="C20" s="1653"/>
      <c r="D20" s="1841"/>
      <c r="E20" s="1537">
        <f t="shared" si="2"/>
        <v>0</v>
      </c>
      <c r="F20" s="1927">
        <f t="shared" si="1"/>
        <v>0</v>
      </c>
      <c r="G20" s="1790">
        <f t="shared" si="3"/>
        <v>0</v>
      </c>
    </row>
    <row r="21" spans="1:8" x14ac:dyDescent="0.25">
      <c r="A21" s="1650"/>
      <c r="B21" s="1929"/>
      <c r="C21" s="1653"/>
      <c r="D21" s="1841"/>
      <c r="E21" s="1537">
        <f t="shared" si="2"/>
        <v>0</v>
      </c>
      <c r="F21" s="1927">
        <f t="shared" si="1"/>
        <v>0</v>
      </c>
      <c r="G21" s="1790">
        <f t="shared" si="3"/>
        <v>0</v>
      </c>
    </row>
    <row r="22" spans="1:8" x14ac:dyDescent="0.25">
      <c r="A22" s="1650"/>
      <c r="B22" s="1929"/>
      <c r="C22" s="1653"/>
      <c r="D22" s="1841"/>
      <c r="E22" s="1537">
        <f t="shared" si="2"/>
        <v>0</v>
      </c>
      <c r="F22" s="1927">
        <f t="shared" si="1"/>
        <v>0</v>
      </c>
      <c r="G22" s="1790">
        <f t="shared" si="3"/>
        <v>0</v>
      </c>
    </row>
    <row r="23" spans="1:8" x14ac:dyDescent="0.25">
      <c r="A23" s="1650"/>
      <c r="B23" s="1929"/>
      <c r="C23" s="1653"/>
      <c r="D23" s="1841"/>
      <c r="E23" s="1537">
        <f t="shared" si="2"/>
        <v>0</v>
      </c>
      <c r="F23" s="1927">
        <f t="shared" si="1"/>
        <v>0</v>
      </c>
      <c r="G23" s="1790">
        <f t="shared" si="3"/>
        <v>0</v>
      </c>
    </row>
    <row r="24" spans="1:8" x14ac:dyDescent="0.25">
      <c r="A24" s="1650"/>
      <c r="B24" s="1929"/>
      <c r="C24" s="1653"/>
      <c r="D24" s="1841"/>
      <c r="E24" s="1537">
        <f t="shared" si="2"/>
        <v>0</v>
      </c>
      <c r="F24" s="1927">
        <f t="shared" si="1"/>
        <v>0</v>
      </c>
      <c r="G24" s="1790">
        <f t="shared" si="3"/>
        <v>0</v>
      </c>
    </row>
    <row r="25" spans="1:8" x14ac:dyDescent="0.25">
      <c r="A25" s="1650"/>
      <c r="B25" s="1929"/>
      <c r="C25" s="1653"/>
      <c r="D25" s="1841"/>
      <c r="E25" s="1537">
        <f t="shared" si="2"/>
        <v>0</v>
      </c>
      <c r="F25" s="1927">
        <f t="shared" si="1"/>
        <v>0</v>
      </c>
      <c r="G25" s="1790">
        <f t="shared" si="3"/>
        <v>0</v>
      </c>
    </row>
    <row r="26" spans="1:8" x14ac:dyDescent="0.25">
      <c r="A26" s="1650"/>
      <c r="B26" s="1929"/>
      <c r="C26" s="1651"/>
      <c r="D26" s="1841"/>
      <c r="E26" s="1537">
        <f t="shared" si="2"/>
        <v>0</v>
      </c>
      <c r="F26" s="1927">
        <f t="shared" si="1"/>
        <v>0</v>
      </c>
      <c r="G26" s="1790">
        <f t="shared" si="3"/>
        <v>0</v>
      </c>
    </row>
    <row r="27" spans="1:8" x14ac:dyDescent="0.25">
      <c r="A27" s="1650"/>
      <c r="B27" s="1929"/>
      <c r="C27" s="1651"/>
      <c r="D27" s="1841"/>
      <c r="E27" s="1537">
        <f t="shared" si="2"/>
        <v>0</v>
      </c>
      <c r="F27" s="1927">
        <f t="shared" si="1"/>
        <v>0</v>
      </c>
      <c r="G27" s="1790">
        <f t="shared" si="3"/>
        <v>0</v>
      </c>
    </row>
    <row r="28" spans="1:8" x14ac:dyDescent="0.25">
      <c r="A28" s="1650"/>
      <c r="B28" s="1929"/>
      <c r="C28" s="1651"/>
      <c r="D28" s="1841"/>
      <c r="E28" s="1537">
        <f t="shared" si="2"/>
        <v>0</v>
      </c>
      <c r="F28" s="1927">
        <f t="shared" si="1"/>
        <v>0</v>
      </c>
      <c r="G28" s="1790">
        <f t="shared" si="3"/>
        <v>0</v>
      </c>
    </row>
    <row r="29" spans="1:8" x14ac:dyDescent="0.25">
      <c r="A29" s="1650"/>
      <c r="B29" s="1929"/>
      <c r="C29" s="1651"/>
      <c r="D29" s="1841"/>
      <c r="E29" s="1537">
        <f t="shared" si="2"/>
        <v>0</v>
      </c>
      <c r="F29" s="1927">
        <f t="shared" si="1"/>
        <v>0</v>
      </c>
      <c r="G29" s="1790">
        <f t="shared" si="3"/>
        <v>0</v>
      </c>
    </row>
    <row r="30" spans="1:8" x14ac:dyDescent="0.25">
      <c r="A30" s="1650"/>
      <c r="B30" s="1929"/>
      <c r="C30" s="1651"/>
      <c r="D30" s="1841"/>
      <c r="E30" s="1537">
        <f t="shared" si="2"/>
        <v>0</v>
      </c>
      <c r="F30" s="1927">
        <f t="shared" si="1"/>
        <v>0</v>
      </c>
      <c r="G30" s="1790">
        <f t="shared" si="3"/>
        <v>0</v>
      </c>
    </row>
    <row r="31" spans="1:8" x14ac:dyDescent="0.25">
      <c r="A31" s="1650"/>
      <c r="B31" s="1929"/>
      <c r="C31" s="1651"/>
      <c r="D31" s="1841"/>
      <c r="E31" s="1537">
        <f t="shared" si="2"/>
        <v>0</v>
      </c>
      <c r="F31" s="1927">
        <f t="shared" si="1"/>
        <v>0</v>
      </c>
      <c r="G31" s="1790">
        <f t="shared" si="3"/>
        <v>0</v>
      </c>
    </row>
    <row r="32" spans="1:8" x14ac:dyDescent="0.25">
      <c r="A32" s="1650"/>
      <c r="B32" s="1929"/>
      <c r="C32" s="1651"/>
      <c r="D32" s="1841"/>
      <c r="E32" s="1537">
        <f t="shared" si="2"/>
        <v>0</v>
      </c>
      <c r="F32" s="1927">
        <f t="shared" si="1"/>
        <v>0</v>
      </c>
      <c r="G32" s="1790">
        <f t="shared" si="3"/>
        <v>0</v>
      </c>
    </row>
    <row r="33" spans="1:7" x14ac:dyDescent="0.25">
      <c r="A33" s="1650"/>
      <c r="B33" s="1929"/>
      <c r="C33" s="1651"/>
      <c r="D33" s="1841"/>
      <c r="E33" s="1537">
        <f t="shared" si="2"/>
        <v>0</v>
      </c>
      <c r="F33" s="1927">
        <f t="shared" si="1"/>
        <v>0</v>
      </c>
      <c r="G33" s="1790">
        <f t="shared" si="3"/>
        <v>0</v>
      </c>
    </row>
    <row r="34" spans="1:7" x14ac:dyDescent="0.25">
      <c r="A34" s="1650"/>
      <c r="B34" s="1929"/>
      <c r="C34" s="1651"/>
      <c r="D34" s="1841"/>
      <c r="E34" s="1537">
        <f t="shared" si="2"/>
        <v>0</v>
      </c>
      <c r="F34" s="1927">
        <f t="shared" si="1"/>
        <v>0</v>
      </c>
      <c r="G34" s="1790">
        <f t="shared" si="3"/>
        <v>0</v>
      </c>
    </row>
    <row r="35" spans="1:7" x14ac:dyDescent="0.25">
      <c r="A35" s="1650"/>
      <c r="B35" s="1929"/>
      <c r="C35" s="1651"/>
      <c r="D35" s="1841"/>
      <c r="E35" s="1537">
        <f t="shared" si="2"/>
        <v>0</v>
      </c>
      <c r="F35" s="1927">
        <f t="shared" si="1"/>
        <v>0</v>
      </c>
      <c r="G35" s="1790">
        <f t="shared" si="3"/>
        <v>0</v>
      </c>
    </row>
    <row r="36" spans="1:7" x14ac:dyDescent="0.25">
      <c r="A36" s="1650"/>
      <c r="B36" s="1929"/>
      <c r="C36" s="1651"/>
      <c r="D36" s="1841"/>
      <c r="E36" s="1537">
        <f t="shared" si="2"/>
        <v>0</v>
      </c>
      <c r="F36" s="1927">
        <f t="shared" si="1"/>
        <v>0</v>
      </c>
      <c r="G36" s="1790">
        <f t="shared" si="3"/>
        <v>0</v>
      </c>
    </row>
    <row r="37" spans="1:7" x14ac:dyDescent="0.25">
      <c r="A37" s="1650"/>
      <c r="B37" s="1929"/>
      <c r="C37" s="1651"/>
      <c r="D37" s="1841"/>
      <c r="E37" s="1537">
        <f t="shared" si="2"/>
        <v>0</v>
      </c>
      <c r="F37" s="1927">
        <f t="shared" si="1"/>
        <v>0</v>
      </c>
      <c r="G37" s="1790">
        <f t="shared" si="3"/>
        <v>0</v>
      </c>
    </row>
    <row r="38" spans="1:7" x14ac:dyDescent="0.25">
      <c r="A38" s="1650"/>
      <c r="B38" s="1930"/>
      <c r="C38" s="1651"/>
      <c r="D38" s="1841"/>
      <c r="E38" s="1537">
        <f t="shared" si="2"/>
        <v>0</v>
      </c>
      <c r="F38" s="1927">
        <f t="shared" si="1"/>
        <v>0</v>
      </c>
      <c r="G38" s="1790">
        <f t="shared" si="3"/>
        <v>0</v>
      </c>
    </row>
    <row r="39" spans="1:7" x14ac:dyDescent="0.25">
      <c r="A39" s="1650"/>
      <c r="B39" s="1930"/>
      <c r="C39" s="1651"/>
      <c r="D39" s="1841"/>
      <c r="E39" s="1537">
        <f t="shared" si="2"/>
        <v>0</v>
      </c>
      <c r="F39" s="1927">
        <f t="shared" si="1"/>
        <v>0</v>
      </c>
      <c r="G39" s="1790">
        <f t="shared" si="3"/>
        <v>0</v>
      </c>
    </row>
    <row r="40" spans="1:7" x14ac:dyDescent="0.25">
      <c r="A40" s="1650"/>
      <c r="B40" s="1930"/>
      <c r="C40" s="1651"/>
      <c r="D40" s="1841"/>
      <c r="E40" s="1537">
        <f t="shared" si="2"/>
        <v>0</v>
      </c>
      <c r="F40" s="1927">
        <f t="shared" si="1"/>
        <v>0</v>
      </c>
      <c r="G40" s="1790">
        <f t="shared" si="3"/>
        <v>0</v>
      </c>
    </row>
    <row r="41" spans="1:7" x14ac:dyDescent="0.25">
      <c r="A41" s="1650"/>
      <c r="B41" s="1930"/>
      <c r="C41" s="1651"/>
      <c r="D41" s="1841"/>
      <c r="E41" s="1537">
        <f t="shared" si="2"/>
        <v>0</v>
      </c>
      <c r="F41" s="1927">
        <f t="shared" si="1"/>
        <v>0</v>
      </c>
      <c r="G41" s="1790">
        <f t="shared" si="3"/>
        <v>0</v>
      </c>
    </row>
    <row r="42" spans="1:7" x14ac:dyDescent="0.25">
      <c r="A42" s="1650"/>
      <c r="B42" s="1930"/>
      <c r="C42" s="1651"/>
      <c r="D42" s="1841"/>
      <c r="E42" s="1537">
        <f t="shared" si="2"/>
        <v>0</v>
      </c>
      <c r="F42" s="1927">
        <f t="shared" si="1"/>
        <v>0</v>
      </c>
      <c r="G42" s="1790">
        <f t="shared" si="3"/>
        <v>0</v>
      </c>
    </row>
    <row r="43" spans="1:7" x14ac:dyDescent="0.25">
      <c r="A43" s="1650"/>
      <c r="B43" s="1930"/>
      <c r="C43" s="1651"/>
      <c r="D43" s="1841"/>
      <c r="E43" s="1537">
        <f t="shared" si="2"/>
        <v>0</v>
      </c>
      <c r="F43" s="1927">
        <f t="shared" si="1"/>
        <v>0</v>
      </c>
      <c r="G43" s="1790">
        <f t="shared" si="3"/>
        <v>0</v>
      </c>
    </row>
    <row r="44" spans="1:7" x14ac:dyDescent="0.25">
      <c r="A44" s="1650"/>
      <c r="B44" s="1930"/>
      <c r="C44" s="1651"/>
      <c r="D44" s="1841"/>
      <c r="E44" s="1537">
        <f t="shared" si="2"/>
        <v>0</v>
      </c>
      <c r="F44" s="1927">
        <f t="shared" si="1"/>
        <v>0</v>
      </c>
      <c r="G44" s="1790">
        <f t="shared" si="3"/>
        <v>0</v>
      </c>
    </row>
    <row r="45" spans="1:7" x14ac:dyDescent="0.25">
      <c r="A45" s="1650"/>
      <c r="B45" s="1930"/>
      <c r="C45" s="1651"/>
      <c r="D45" s="1841"/>
      <c r="E45" s="1537">
        <f t="shared" si="2"/>
        <v>0</v>
      </c>
      <c r="F45" s="1927">
        <f t="shared" si="1"/>
        <v>0</v>
      </c>
      <c r="G45" s="1790">
        <f t="shared" si="3"/>
        <v>0</v>
      </c>
    </row>
    <row r="46" spans="1:7" x14ac:dyDescent="0.25">
      <c r="A46" s="1650"/>
      <c r="B46" s="1664"/>
      <c r="C46" s="1651"/>
      <c r="D46" s="1841"/>
      <c r="E46" s="1537">
        <f t="shared" si="2"/>
        <v>0</v>
      </c>
      <c r="F46" s="1927">
        <f t="shared" si="1"/>
        <v>0</v>
      </c>
      <c r="G46" s="1790">
        <f t="shared" si="3"/>
        <v>0</v>
      </c>
    </row>
    <row r="47" spans="1:7" x14ac:dyDescent="0.25">
      <c r="A47" s="1650"/>
      <c r="B47" s="1664"/>
      <c r="C47" s="1651"/>
      <c r="D47" s="1841"/>
      <c r="E47" s="1537">
        <f t="shared" si="2"/>
        <v>0</v>
      </c>
      <c r="F47" s="1927">
        <f t="shared" si="1"/>
        <v>0</v>
      </c>
      <c r="G47" s="1790">
        <f t="shared" si="3"/>
        <v>0</v>
      </c>
    </row>
    <row r="48" spans="1:7" x14ac:dyDescent="0.25">
      <c r="A48" s="1650"/>
      <c r="B48" s="1664"/>
      <c r="C48" s="1651"/>
      <c r="D48" s="1841"/>
      <c r="E48" s="1537">
        <f t="shared" si="2"/>
        <v>0</v>
      </c>
      <c r="F48" s="1927">
        <f t="shared" si="1"/>
        <v>0</v>
      </c>
      <c r="G48" s="1790">
        <f t="shared" si="3"/>
        <v>0</v>
      </c>
    </row>
    <row r="49" spans="1:7" x14ac:dyDescent="0.25">
      <c r="A49" s="1650"/>
      <c r="B49" s="1664"/>
      <c r="C49" s="1651"/>
      <c r="D49" s="1841"/>
      <c r="E49" s="1537">
        <f t="shared" si="2"/>
        <v>0</v>
      </c>
      <c r="F49" s="1927">
        <f t="shared" si="1"/>
        <v>0</v>
      </c>
      <c r="G49" s="1790">
        <f t="shared" si="3"/>
        <v>0</v>
      </c>
    </row>
    <row r="50" spans="1:7" x14ac:dyDescent="0.25">
      <c r="A50" s="1650"/>
      <c r="B50" s="1664"/>
      <c r="C50" s="1651"/>
      <c r="D50" s="1841"/>
      <c r="E50" s="1537">
        <f t="shared" si="2"/>
        <v>0</v>
      </c>
      <c r="F50" s="1927">
        <f t="shared" si="1"/>
        <v>0</v>
      </c>
      <c r="G50" s="1790">
        <f t="shared" si="3"/>
        <v>0</v>
      </c>
    </row>
    <row r="51" spans="1:7" x14ac:dyDescent="0.25">
      <c r="A51" s="1650"/>
      <c r="B51" s="1664"/>
      <c r="C51" s="1651"/>
      <c r="D51" s="1841"/>
      <c r="E51" s="1537">
        <f t="shared" si="2"/>
        <v>0</v>
      </c>
      <c r="F51" s="1927">
        <f t="shared" si="1"/>
        <v>0</v>
      </c>
      <c r="G51" s="1790">
        <f t="shared" si="3"/>
        <v>0</v>
      </c>
    </row>
    <row r="52" spans="1:7" x14ac:dyDescent="0.25">
      <c r="A52" s="1650"/>
      <c r="B52" s="1664"/>
      <c r="C52" s="1651"/>
      <c r="D52" s="1841"/>
      <c r="E52" s="1537">
        <f t="shared" si="2"/>
        <v>0</v>
      </c>
      <c r="F52" s="1927">
        <f t="shared" si="1"/>
        <v>0</v>
      </c>
      <c r="G52" s="1790">
        <f t="shared" si="3"/>
        <v>0</v>
      </c>
    </row>
    <row r="53" spans="1:7" x14ac:dyDescent="0.25">
      <c r="A53" s="1650"/>
      <c r="B53" s="1664"/>
      <c r="C53" s="1651"/>
      <c r="D53" s="1841"/>
      <c r="E53" s="1537">
        <f t="shared" si="2"/>
        <v>0</v>
      </c>
      <c r="F53" s="1927">
        <f t="shared" si="1"/>
        <v>0</v>
      </c>
      <c r="G53" s="1790">
        <f t="shared" si="3"/>
        <v>0</v>
      </c>
    </row>
    <row r="54" spans="1:7" x14ac:dyDescent="0.25">
      <c r="A54" s="1650"/>
      <c r="B54" s="1664"/>
      <c r="C54" s="1651"/>
      <c r="D54" s="1841"/>
      <c r="E54" s="1537">
        <f t="shared" si="2"/>
        <v>0</v>
      </c>
      <c r="F54" s="1927">
        <f t="shared" si="1"/>
        <v>0</v>
      </c>
      <c r="G54" s="1790">
        <f t="shared" si="3"/>
        <v>0</v>
      </c>
    </row>
    <row r="55" spans="1:7" x14ac:dyDescent="0.25">
      <c r="A55" s="1650"/>
      <c r="B55" s="1664"/>
      <c r="C55" s="1651"/>
      <c r="D55" s="1841"/>
      <c r="E55" s="1537">
        <f t="shared" si="2"/>
        <v>0</v>
      </c>
      <c r="F55" s="1927">
        <f t="shared" si="1"/>
        <v>0</v>
      </c>
      <c r="G55" s="1790">
        <f t="shared" si="3"/>
        <v>0</v>
      </c>
    </row>
    <row r="56" spans="1:7" x14ac:dyDescent="0.25">
      <c r="A56" s="1650"/>
      <c r="B56" s="1664"/>
      <c r="C56" s="1651"/>
      <c r="D56" s="1841"/>
      <c r="E56" s="1537">
        <f t="shared" si="2"/>
        <v>0</v>
      </c>
      <c r="F56" s="1927">
        <f t="shared" si="1"/>
        <v>0</v>
      </c>
      <c r="G56" s="1790">
        <f t="shared" si="3"/>
        <v>0</v>
      </c>
    </row>
    <row r="57" spans="1:7" x14ac:dyDescent="0.25">
      <c r="A57" s="1650"/>
      <c r="B57" s="1664"/>
      <c r="C57" s="1651"/>
      <c r="D57" s="1841"/>
      <c r="E57" s="1537">
        <f t="shared" si="2"/>
        <v>0</v>
      </c>
      <c r="F57" s="1927">
        <f t="shared" si="1"/>
        <v>0</v>
      </c>
      <c r="G57" s="1790">
        <f t="shared" si="3"/>
        <v>0</v>
      </c>
    </row>
    <row r="58" spans="1:7" x14ac:dyDescent="0.25">
      <c r="A58" s="1650"/>
      <c r="B58" s="1664"/>
      <c r="C58" s="1651"/>
      <c r="D58" s="1841"/>
      <c r="E58" s="1537">
        <f t="shared" si="2"/>
        <v>0</v>
      </c>
      <c r="F58" s="1927">
        <f t="shared" si="1"/>
        <v>0</v>
      </c>
      <c r="G58" s="1790">
        <f t="shared" si="3"/>
        <v>0</v>
      </c>
    </row>
    <row r="59" spans="1:7" x14ac:dyDescent="0.25">
      <c r="A59" s="1650"/>
      <c r="B59" s="1664"/>
      <c r="C59" s="1651"/>
      <c r="D59" s="1841"/>
      <c r="E59" s="1537">
        <f t="shared" si="2"/>
        <v>0</v>
      </c>
      <c r="F59" s="1927">
        <f t="shared" si="1"/>
        <v>0</v>
      </c>
      <c r="G59" s="1790">
        <f t="shared" si="3"/>
        <v>0</v>
      </c>
    </row>
    <row r="60" spans="1:7" x14ac:dyDescent="0.25">
      <c r="A60" s="1650"/>
      <c r="B60" s="1664"/>
      <c r="C60" s="1651"/>
      <c r="D60" s="1841"/>
      <c r="E60" s="1537">
        <f t="shared" si="2"/>
        <v>0</v>
      </c>
      <c r="F60" s="1927">
        <f t="shared" si="1"/>
        <v>0</v>
      </c>
      <c r="G60" s="1790">
        <f t="shared" si="3"/>
        <v>0</v>
      </c>
    </row>
    <row r="61" spans="1:7" x14ac:dyDescent="0.25">
      <c r="A61" s="1650"/>
      <c r="B61" s="1664"/>
      <c r="C61" s="1651"/>
      <c r="D61" s="1841"/>
      <c r="E61" s="1537">
        <f t="shared" si="2"/>
        <v>0</v>
      </c>
      <c r="F61" s="1927">
        <f t="shared" si="1"/>
        <v>0</v>
      </c>
      <c r="G61" s="1790">
        <f t="shared" si="3"/>
        <v>0</v>
      </c>
    </row>
    <row r="62" spans="1:7" x14ac:dyDescent="0.25">
      <c r="A62" s="1650"/>
      <c r="B62" s="1664"/>
      <c r="C62" s="1651"/>
      <c r="D62" s="1841"/>
      <c r="E62" s="1537">
        <f t="shared" si="2"/>
        <v>0</v>
      </c>
      <c r="F62" s="1927">
        <f t="shared" si="1"/>
        <v>0</v>
      </c>
      <c r="G62" s="1790">
        <f t="shared" si="3"/>
        <v>0</v>
      </c>
    </row>
    <row r="63" spans="1:7" x14ac:dyDescent="0.25">
      <c r="A63" s="1650"/>
      <c r="B63" s="1664"/>
      <c r="C63" s="1651"/>
      <c r="D63" s="1841"/>
      <c r="E63" s="1537">
        <f t="shared" si="2"/>
        <v>0</v>
      </c>
      <c r="F63" s="1927">
        <f t="shared" si="1"/>
        <v>0</v>
      </c>
      <c r="G63" s="1790">
        <f t="shared" si="3"/>
        <v>0</v>
      </c>
    </row>
    <row r="64" spans="1:7" x14ac:dyDescent="0.25">
      <c r="A64" s="1652"/>
      <c r="B64" s="1664"/>
      <c r="C64" s="1653"/>
      <c r="D64" s="1841"/>
      <c r="E64" s="1537">
        <f t="shared" si="2"/>
        <v>0</v>
      </c>
      <c r="F64" s="1927">
        <f t="shared" si="1"/>
        <v>0</v>
      </c>
      <c r="G64" s="1790">
        <f t="shared" si="3"/>
        <v>0</v>
      </c>
    </row>
    <row r="65" spans="1:7" x14ac:dyDescent="0.25">
      <c r="A65" s="1650"/>
      <c r="B65" s="1664"/>
      <c r="C65" s="1651"/>
      <c r="D65" s="1841"/>
      <c r="E65" s="1537">
        <f t="shared" si="2"/>
        <v>0</v>
      </c>
      <c r="F65" s="1927">
        <f t="shared" si="1"/>
        <v>0</v>
      </c>
      <c r="G65" s="1790">
        <f t="shared" si="3"/>
        <v>0</v>
      </c>
    </row>
    <row r="66" spans="1:7" x14ac:dyDescent="0.25">
      <c r="A66" s="1650"/>
      <c r="B66" s="1664"/>
      <c r="C66" s="1651"/>
      <c r="D66" s="1841"/>
      <c r="E66" s="1537">
        <f t="shared" si="2"/>
        <v>0</v>
      </c>
      <c r="F66" s="1927">
        <f t="shared" si="1"/>
        <v>0</v>
      </c>
      <c r="G66" s="1790">
        <f t="shared" si="3"/>
        <v>0</v>
      </c>
    </row>
    <row r="67" spans="1:7" x14ac:dyDescent="0.25">
      <c r="A67" s="1650"/>
      <c r="B67" s="1664"/>
      <c r="C67" s="1651"/>
      <c r="D67" s="1841"/>
      <c r="E67" s="1537">
        <f t="shared" si="2"/>
        <v>0</v>
      </c>
      <c r="F67" s="1927">
        <f t="shared" si="1"/>
        <v>0</v>
      </c>
      <c r="G67" s="1790">
        <f t="shared" si="3"/>
        <v>0</v>
      </c>
    </row>
    <row r="68" spans="1:7" x14ac:dyDescent="0.25">
      <c r="A68" s="1650"/>
      <c r="B68" s="1664"/>
      <c r="C68" s="1651"/>
      <c r="D68" s="1841"/>
      <c r="E68" s="1537">
        <f t="shared" si="2"/>
        <v>0</v>
      </c>
      <c r="F68" s="1927">
        <f t="shared" si="1"/>
        <v>0</v>
      </c>
      <c r="G68" s="1790">
        <f t="shared" si="3"/>
        <v>0</v>
      </c>
    </row>
    <row r="69" spans="1:7" x14ac:dyDescent="0.25">
      <c r="A69" s="1650"/>
      <c r="B69" s="1664"/>
      <c r="C69" s="1651"/>
      <c r="D69" s="1841"/>
      <c r="E69" s="1537">
        <f t="shared" si="2"/>
        <v>0</v>
      </c>
      <c r="F69" s="1927">
        <f t="shared" si="1"/>
        <v>0</v>
      </c>
      <c r="G69" s="1790">
        <f t="shared" si="3"/>
        <v>0</v>
      </c>
    </row>
    <row r="70" spans="1:7" x14ac:dyDescent="0.25">
      <c r="A70" s="1650"/>
      <c r="B70" s="1664"/>
      <c r="C70" s="1651"/>
      <c r="D70" s="1841"/>
      <c r="E70" s="1537">
        <f t="shared" si="2"/>
        <v>0</v>
      </c>
      <c r="F70" s="1927">
        <f t="shared" si="1"/>
        <v>0</v>
      </c>
      <c r="G70" s="1790">
        <f t="shared" si="3"/>
        <v>0</v>
      </c>
    </row>
    <row r="71" spans="1:7" x14ac:dyDescent="0.25">
      <c r="A71" s="1650"/>
      <c r="B71" s="1664"/>
      <c r="C71" s="1651"/>
      <c r="D71" s="1841"/>
      <c r="E71" s="1537">
        <f t="shared" si="2"/>
        <v>0</v>
      </c>
      <c r="F71" s="1927">
        <f t="shared" si="1"/>
        <v>0</v>
      </c>
      <c r="G71" s="1790">
        <f t="shared" si="3"/>
        <v>0</v>
      </c>
    </row>
    <row r="72" spans="1:7" x14ac:dyDescent="0.25">
      <c r="A72" s="1650"/>
      <c r="B72" s="1664"/>
      <c r="C72" s="1651"/>
      <c r="D72" s="1841"/>
      <c r="E72" s="1537">
        <f t="shared" si="2"/>
        <v>0</v>
      </c>
      <c r="F72" s="1927">
        <f t="shared" si="1"/>
        <v>0</v>
      </c>
      <c r="G72" s="1790">
        <f t="shared" si="3"/>
        <v>0</v>
      </c>
    </row>
    <row r="73" spans="1:7" x14ac:dyDescent="0.25">
      <c r="A73" s="1650"/>
      <c r="B73" s="1664"/>
      <c r="C73" s="1651"/>
      <c r="D73" s="1841"/>
      <c r="E73" s="1537">
        <f t="shared" ref="E73:E84" si="4">IF(D73&lt;=25000,D73,IF(D73&gt;25000,25000,0))</f>
        <v>0</v>
      </c>
      <c r="F73" s="1927">
        <f t="shared" si="1"/>
        <v>0</v>
      </c>
      <c r="G73" s="1790">
        <f t="shared" ref="G73:G84" si="5">IF(F73=0,0,D73-F73)</f>
        <v>0</v>
      </c>
    </row>
    <row r="74" spans="1:7" x14ac:dyDescent="0.25">
      <c r="A74" s="1650"/>
      <c r="B74" s="1664"/>
      <c r="C74" s="1651"/>
      <c r="D74" s="1841"/>
      <c r="E74" s="1537">
        <f t="shared" si="4"/>
        <v>0</v>
      </c>
      <c r="F74" s="1927">
        <f t="shared" si="1"/>
        <v>0</v>
      </c>
      <c r="G74" s="1790">
        <f t="shared" si="5"/>
        <v>0</v>
      </c>
    </row>
    <row r="75" spans="1:7" x14ac:dyDescent="0.25">
      <c r="A75" s="1650"/>
      <c r="B75" s="1664"/>
      <c r="C75" s="1651"/>
      <c r="D75" s="1841"/>
      <c r="E75" s="1537">
        <f t="shared" si="4"/>
        <v>0</v>
      </c>
      <c r="F75" s="1927">
        <f t="shared" si="1"/>
        <v>0</v>
      </c>
      <c r="G75" s="1790">
        <f t="shared" si="5"/>
        <v>0</v>
      </c>
    </row>
    <row r="76" spans="1:7" x14ac:dyDescent="0.25">
      <c r="A76" s="1650"/>
      <c r="B76" s="1664"/>
      <c r="C76" s="1651"/>
      <c r="D76" s="1841"/>
      <c r="E76" s="1537">
        <f t="shared" si="4"/>
        <v>0</v>
      </c>
      <c r="F76" s="1927">
        <f t="shared" si="1"/>
        <v>0</v>
      </c>
      <c r="G76" s="1790">
        <f t="shared" si="5"/>
        <v>0</v>
      </c>
    </row>
    <row r="77" spans="1:7" x14ac:dyDescent="0.25">
      <c r="A77" s="1650"/>
      <c r="B77" s="1664"/>
      <c r="C77" s="1651"/>
      <c r="D77" s="1841"/>
      <c r="E77" s="1537">
        <f t="shared" si="4"/>
        <v>0</v>
      </c>
      <c r="F77" s="1927">
        <f t="shared" si="1"/>
        <v>0</v>
      </c>
      <c r="G77" s="1790">
        <f t="shared" si="5"/>
        <v>0</v>
      </c>
    </row>
    <row r="78" spans="1:7" x14ac:dyDescent="0.25">
      <c r="A78" s="1650"/>
      <c r="B78" s="1664"/>
      <c r="C78" s="1651"/>
      <c r="D78" s="1841"/>
      <c r="E78" s="1537">
        <f t="shared" si="4"/>
        <v>0</v>
      </c>
      <c r="F78" s="1927">
        <f t="shared" si="1"/>
        <v>0</v>
      </c>
      <c r="G78" s="1790">
        <f t="shared" si="5"/>
        <v>0</v>
      </c>
    </row>
    <row r="79" spans="1:7" x14ac:dyDescent="0.25">
      <c r="A79" s="1650"/>
      <c r="B79" s="1664"/>
      <c r="C79" s="1651"/>
      <c r="D79" s="1841"/>
      <c r="E79" s="1537">
        <f t="shared" si="4"/>
        <v>0</v>
      </c>
      <c r="F79" s="1927">
        <f t="shared" si="1"/>
        <v>0</v>
      </c>
      <c r="G79" s="1790">
        <f t="shared" si="5"/>
        <v>0</v>
      </c>
    </row>
    <row r="80" spans="1:7" x14ac:dyDescent="0.25">
      <c r="A80" s="1650"/>
      <c r="B80" s="1664"/>
      <c r="C80" s="1651"/>
      <c r="D80" s="1841"/>
      <c r="E80" s="1537">
        <f t="shared" si="4"/>
        <v>0</v>
      </c>
      <c r="F80" s="1927">
        <f t="shared" si="1"/>
        <v>0</v>
      </c>
      <c r="G80" s="1790">
        <f t="shared" si="5"/>
        <v>0</v>
      </c>
    </row>
    <row r="81" spans="1:7" x14ac:dyDescent="0.25">
      <c r="A81" s="1650"/>
      <c r="B81" s="1664"/>
      <c r="C81" s="1651"/>
      <c r="D81" s="1841"/>
      <c r="E81" s="1537">
        <f t="shared" si="4"/>
        <v>0</v>
      </c>
      <c r="F81" s="1927">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7">
        <f t="shared" si="6"/>
        <v>0</v>
      </c>
      <c r="G82" s="1790">
        <f t="shared" si="5"/>
        <v>0</v>
      </c>
    </row>
    <row r="83" spans="1:7" x14ac:dyDescent="0.25">
      <c r="A83" s="1650"/>
      <c r="B83" s="1664"/>
      <c r="C83" s="1651"/>
      <c r="D83" s="1841"/>
      <c r="E83" s="1537">
        <f t="shared" si="4"/>
        <v>0</v>
      </c>
      <c r="F83" s="1927">
        <f t="shared" si="6"/>
        <v>0</v>
      </c>
      <c r="G83" s="1790">
        <f t="shared" si="5"/>
        <v>0</v>
      </c>
    </row>
    <row r="84" spans="1:7" x14ac:dyDescent="0.25">
      <c r="A84" s="1650"/>
      <c r="B84" s="1664"/>
      <c r="C84" s="1651"/>
      <c r="D84" s="1841"/>
      <c r="E84" s="1537">
        <f t="shared" si="4"/>
        <v>0</v>
      </c>
      <c r="F84" s="1927">
        <f t="shared" si="6"/>
        <v>0</v>
      </c>
      <c r="G84" s="1790">
        <f t="shared" si="5"/>
        <v>0</v>
      </c>
    </row>
    <row r="85" spans="1:7" x14ac:dyDescent="0.25">
      <c r="A85" s="1650"/>
      <c r="B85" s="1664"/>
      <c r="C85" s="1651"/>
      <c r="D85" s="1841"/>
      <c r="E85" s="1537">
        <f t="shared" si="2"/>
        <v>0</v>
      </c>
      <c r="F85" s="1927">
        <f t="shared" si="6"/>
        <v>0</v>
      </c>
      <c r="G85" s="1790">
        <f t="shared" si="3"/>
        <v>0</v>
      </c>
    </row>
    <row r="86" spans="1:7" x14ac:dyDescent="0.25">
      <c r="A86" s="1650"/>
      <c r="B86" s="1664"/>
      <c r="C86" s="1651"/>
      <c r="D86" s="1841"/>
      <c r="E86" s="1537">
        <f t="shared" si="2"/>
        <v>0</v>
      </c>
      <c r="F86" s="1927">
        <f t="shared" si="6"/>
        <v>0</v>
      </c>
      <c r="G86" s="1790">
        <f t="shared" si="3"/>
        <v>0</v>
      </c>
    </row>
    <row r="87" spans="1:7" x14ac:dyDescent="0.25">
      <c r="A87" s="1650"/>
      <c r="B87" s="1664"/>
      <c r="C87" s="1651"/>
      <c r="D87" s="1841"/>
      <c r="E87" s="1537">
        <f t="shared" si="2"/>
        <v>0</v>
      </c>
      <c r="F87" s="1927">
        <f t="shared" si="6"/>
        <v>0</v>
      </c>
      <c r="G87" s="1790">
        <f t="shared" si="3"/>
        <v>0</v>
      </c>
    </row>
    <row r="88" spans="1:7" x14ac:dyDescent="0.25">
      <c r="A88" s="1650"/>
      <c r="B88" s="1664"/>
      <c r="C88" s="1651"/>
      <c r="D88" s="1841"/>
      <c r="E88" s="1537">
        <f t="shared" si="2"/>
        <v>0</v>
      </c>
      <c r="F88" s="1927">
        <f t="shared" si="6"/>
        <v>0</v>
      </c>
      <c r="G88" s="1790">
        <f t="shared" si="3"/>
        <v>0</v>
      </c>
    </row>
    <row r="89" spans="1:7" x14ac:dyDescent="0.25">
      <c r="A89" s="1650"/>
      <c r="B89" s="1664"/>
      <c r="C89" s="1651"/>
      <c r="D89" s="1841"/>
      <c r="E89" s="1537">
        <f t="shared" si="2"/>
        <v>0</v>
      </c>
      <c r="F89" s="1927">
        <f t="shared" si="6"/>
        <v>0</v>
      </c>
      <c r="G89" s="1790">
        <f t="shared" si="3"/>
        <v>0</v>
      </c>
    </row>
    <row r="90" spans="1:7" x14ac:dyDescent="0.25">
      <c r="A90" s="1650"/>
      <c r="B90" s="1664"/>
      <c r="C90" s="1651"/>
      <c r="D90" s="1841"/>
      <c r="E90" s="1537">
        <f t="shared" si="2"/>
        <v>0</v>
      </c>
      <c r="F90" s="1927">
        <f t="shared" si="6"/>
        <v>0</v>
      </c>
      <c r="G90" s="1790">
        <f t="shared" si="3"/>
        <v>0</v>
      </c>
    </row>
    <row r="91" spans="1:7" x14ac:dyDescent="0.25">
      <c r="A91" s="1650"/>
      <c r="B91" s="1664"/>
      <c r="C91" s="1651"/>
      <c r="D91" s="1841"/>
      <c r="E91" s="1537">
        <f t="shared" si="2"/>
        <v>0</v>
      </c>
      <c r="F91" s="1927">
        <f t="shared" si="6"/>
        <v>0</v>
      </c>
      <c r="G91" s="1790">
        <f t="shared" si="3"/>
        <v>0</v>
      </c>
    </row>
    <row r="92" spans="1:7" x14ac:dyDescent="0.25">
      <c r="A92" s="1650"/>
      <c r="B92" s="1664"/>
      <c r="C92" s="1651"/>
      <c r="D92" s="1841"/>
      <c r="E92" s="1537">
        <f t="shared" si="2"/>
        <v>0</v>
      </c>
      <c r="F92" s="1927">
        <f t="shared" si="6"/>
        <v>0</v>
      </c>
      <c r="G92" s="1790">
        <f t="shared" si="3"/>
        <v>0</v>
      </c>
    </row>
    <row r="93" spans="1:7" x14ac:dyDescent="0.25">
      <c r="A93" s="1650"/>
      <c r="B93" s="1664"/>
      <c r="C93" s="1651"/>
      <c r="D93" s="1841"/>
      <c r="E93" s="1537">
        <f t="shared" ref="E93" si="7">IF(D93&lt;=25000,D93,IF(D93&gt;25000,25000,0))</f>
        <v>0</v>
      </c>
      <c r="F93" s="1927">
        <f t="shared" si="6"/>
        <v>0</v>
      </c>
      <c r="G93" s="1790">
        <f t="shared" ref="G93" si="8">IF(F93=0,0,D93-F93)</f>
        <v>0</v>
      </c>
    </row>
    <row r="94" spans="1:7" x14ac:dyDescent="0.25">
      <c r="A94" s="1650"/>
      <c r="B94" s="1664"/>
      <c r="C94" s="1651"/>
      <c r="D94" s="1841"/>
      <c r="E94" s="1537">
        <f t="shared" si="2"/>
        <v>0</v>
      </c>
      <c r="F94" s="1927">
        <f t="shared" si="6"/>
        <v>0</v>
      </c>
      <c r="G94" s="1790">
        <f t="shared" si="3"/>
        <v>0</v>
      </c>
    </row>
    <row r="95" spans="1:7" x14ac:dyDescent="0.25">
      <c r="A95" s="1650"/>
      <c r="B95" s="1664"/>
      <c r="C95" s="1651"/>
      <c r="D95" s="1841"/>
      <c r="E95" s="1537">
        <f t="shared" ref="E95:E98" si="9">IF(D95&lt;=25000,D95,IF(D95&gt;25000,25000,0))</f>
        <v>0</v>
      </c>
      <c r="F95" s="1927">
        <f t="shared" si="6"/>
        <v>0</v>
      </c>
      <c r="G95" s="1790">
        <f t="shared" ref="G95:G98" si="10">IF(F95=0,0,D95-F95)</f>
        <v>0</v>
      </c>
    </row>
    <row r="96" spans="1:7" x14ac:dyDescent="0.25">
      <c r="A96" s="1650"/>
      <c r="B96" s="1664"/>
      <c r="C96" s="1651"/>
      <c r="D96" s="1841"/>
      <c r="E96" s="1537">
        <f t="shared" si="9"/>
        <v>0</v>
      </c>
      <c r="F96" s="1927">
        <f t="shared" si="6"/>
        <v>0</v>
      </c>
      <c r="G96" s="1790">
        <f t="shared" si="10"/>
        <v>0</v>
      </c>
    </row>
    <row r="97" spans="1:7" x14ac:dyDescent="0.25">
      <c r="A97" s="1650"/>
      <c r="B97" s="1664"/>
      <c r="C97" s="1651"/>
      <c r="D97" s="1841"/>
      <c r="E97" s="1537">
        <f t="shared" si="9"/>
        <v>0</v>
      </c>
      <c r="F97" s="1927">
        <f t="shared" si="6"/>
        <v>0</v>
      </c>
      <c r="G97" s="1790">
        <f t="shared" si="10"/>
        <v>0</v>
      </c>
    </row>
    <row r="98" spans="1:7" x14ac:dyDescent="0.25">
      <c r="A98" s="1650"/>
      <c r="B98" s="1664"/>
      <c r="C98" s="1651"/>
      <c r="D98" s="1841"/>
      <c r="E98" s="1537">
        <f t="shared" si="9"/>
        <v>0</v>
      </c>
      <c r="F98" s="1927">
        <f t="shared" si="6"/>
        <v>0</v>
      </c>
      <c r="G98" s="1790">
        <f t="shared" si="10"/>
        <v>0</v>
      </c>
    </row>
    <row r="99" spans="1:7" x14ac:dyDescent="0.25">
      <c r="A99" s="1650"/>
      <c r="B99" s="1664"/>
      <c r="C99" s="1651"/>
      <c r="D99" s="1841"/>
      <c r="E99" s="1537">
        <f t="shared" ref="E99" si="11">IF(D99&lt;=25000,D99,IF(D99&gt;25000,25000,0))</f>
        <v>0</v>
      </c>
      <c r="F99" s="1927">
        <f t="shared" si="6"/>
        <v>0</v>
      </c>
      <c r="G99" s="1790">
        <f t="shared" ref="G99" si="12">IF(F99=0,0,D99-F99)</f>
        <v>0</v>
      </c>
    </row>
    <row r="100" spans="1:7" x14ac:dyDescent="0.25">
      <c r="A100" s="1650"/>
      <c r="B100" s="1664"/>
      <c r="C100" s="1651"/>
      <c r="D100" s="1841"/>
      <c r="E100" s="1537">
        <f t="shared" ref="E100:E112" si="13">IF(D100&lt;=25000,D100,IF(D100&gt;25000,25000,0))</f>
        <v>0</v>
      </c>
      <c r="F100" s="1927">
        <f t="shared" si="6"/>
        <v>0</v>
      </c>
      <c r="G100" s="1790">
        <f t="shared" ref="G100:G112" si="14">IF(F100=0,0,D100-F100)</f>
        <v>0</v>
      </c>
    </row>
    <row r="101" spans="1:7" x14ac:dyDescent="0.25">
      <c r="A101" s="1650"/>
      <c r="B101" s="1664"/>
      <c r="C101" s="1651"/>
      <c r="D101" s="1841"/>
      <c r="E101" s="1537">
        <f t="shared" si="13"/>
        <v>0</v>
      </c>
      <c r="F101" s="1927">
        <f t="shared" si="6"/>
        <v>0</v>
      </c>
      <c r="G101" s="1790">
        <f t="shared" si="14"/>
        <v>0</v>
      </c>
    </row>
    <row r="102" spans="1:7" x14ac:dyDescent="0.25">
      <c r="A102" s="1650"/>
      <c r="B102" s="1664"/>
      <c r="C102" s="1651"/>
      <c r="D102" s="1841"/>
      <c r="E102" s="1537">
        <f t="shared" si="13"/>
        <v>0</v>
      </c>
      <c r="F102" s="1927">
        <f t="shared" si="6"/>
        <v>0</v>
      </c>
      <c r="G102" s="1790">
        <f t="shared" si="14"/>
        <v>0</v>
      </c>
    </row>
    <row r="103" spans="1:7" x14ac:dyDescent="0.25">
      <c r="A103" s="1650"/>
      <c r="B103" s="1664"/>
      <c r="C103" s="1651"/>
      <c r="D103" s="1841"/>
      <c r="E103" s="1537">
        <f t="shared" si="13"/>
        <v>0</v>
      </c>
      <c r="F103" s="1927">
        <f t="shared" si="6"/>
        <v>0</v>
      </c>
      <c r="G103" s="1790">
        <f t="shared" si="14"/>
        <v>0</v>
      </c>
    </row>
    <row r="104" spans="1:7" x14ac:dyDescent="0.25">
      <c r="A104" s="1650"/>
      <c r="B104" s="1664"/>
      <c r="C104" s="1651"/>
      <c r="D104" s="1841"/>
      <c r="E104" s="1537">
        <f t="shared" si="13"/>
        <v>0</v>
      </c>
      <c r="F104" s="1927">
        <f t="shared" si="6"/>
        <v>0</v>
      </c>
      <c r="G104" s="1790">
        <f t="shared" si="14"/>
        <v>0</v>
      </c>
    </row>
    <row r="105" spans="1:7" x14ac:dyDescent="0.25">
      <c r="A105" s="1650"/>
      <c r="B105" s="1664"/>
      <c r="C105" s="1651"/>
      <c r="D105" s="1841"/>
      <c r="E105" s="1537">
        <f t="shared" si="13"/>
        <v>0</v>
      </c>
      <c r="F105" s="1927">
        <f t="shared" si="6"/>
        <v>0</v>
      </c>
      <c r="G105" s="1790">
        <f t="shared" si="14"/>
        <v>0</v>
      </c>
    </row>
    <row r="106" spans="1:7" x14ac:dyDescent="0.25">
      <c r="A106" s="1650"/>
      <c r="B106" s="1664"/>
      <c r="C106" s="1651"/>
      <c r="D106" s="1841"/>
      <c r="E106" s="1537">
        <f t="shared" si="13"/>
        <v>0</v>
      </c>
      <c r="F106" s="1927">
        <f t="shared" si="6"/>
        <v>0</v>
      </c>
      <c r="G106" s="1790">
        <f t="shared" si="14"/>
        <v>0</v>
      </c>
    </row>
    <row r="107" spans="1:7" x14ac:dyDescent="0.25">
      <c r="A107" s="1650"/>
      <c r="B107" s="1664"/>
      <c r="C107" s="1651"/>
      <c r="D107" s="1841"/>
      <c r="E107" s="1537">
        <f t="shared" si="13"/>
        <v>0</v>
      </c>
      <c r="F107" s="1927">
        <f t="shared" si="6"/>
        <v>0</v>
      </c>
      <c r="G107" s="1790">
        <f t="shared" si="14"/>
        <v>0</v>
      </c>
    </row>
    <row r="108" spans="1:7" x14ac:dyDescent="0.25">
      <c r="A108" s="1650"/>
      <c r="B108" s="1664"/>
      <c r="C108" s="1651"/>
      <c r="D108" s="1841"/>
      <c r="E108" s="1537">
        <f t="shared" si="13"/>
        <v>0</v>
      </c>
      <c r="F108" s="1927">
        <f t="shared" si="6"/>
        <v>0</v>
      </c>
      <c r="G108" s="1790">
        <f t="shared" si="14"/>
        <v>0</v>
      </c>
    </row>
    <row r="109" spans="1:7" x14ac:dyDescent="0.25">
      <c r="A109" s="1650"/>
      <c r="B109" s="1664"/>
      <c r="C109" s="1651"/>
      <c r="D109" s="1841"/>
      <c r="E109" s="1537">
        <f t="shared" si="13"/>
        <v>0</v>
      </c>
      <c r="F109" s="1927">
        <f t="shared" si="6"/>
        <v>0</v>
      </c>
      <c r="G109" s="1790">
        <f t="shared" si="14"/>
        <v>0</v>
      </c>
    </row>
    <row r="110" spans="1:7" x14ac:dyDescent="0.25">
      <c r="A110" s="1650"/>
      <c r="B110" s="1664"/>
      <c r="C110" s="1651"/>
      <c r="D110" s="1841"/>
      <c r="E110" s="1537">
        <f t="shared" si="13"/>
        <v>0</v>
      </c>
      <c r="F110" s="1927">
        <f t="shared" si="6"/>
        <v>0</v>
      </c>
      <c r="G110" s="1790">
        <f t="shared" si="14"/>
        <v>0</v>
      </c>
    </row>
    <row r="111" spans="1:7" x14ac:dyDescent="0.25">
      <c r="A111" s="1650"/>
      <c r="B111" s="1664"/>
      <c r="C111" s="1651"/>
      <c r="D111" s="1841"/>
      <c r="E111" s="1537">
        <f t="shared" si="13"/>
        <v>0</v>
      </c>
      <c r="F111" s="1927">
        <f t="shared" si="6"/>
        <v>0</v>
      </c>
      <c r="G111" s="1790">
        <f t="shared" si="14"/>
        <v>0</v>
      </c>
    </row>
    <row r="112" spans="1:7" x14ac:dyDescent="0.25">
      <c r="A112" s="1650"/>
      <c r="B112" s="1664"/>
      <c r="C112" s="1651"/>
      <c r="D112" s="1841"/>
      <c r="E112" s="1537">
        <f t="shared" si="13"/>
        <v>0</v>
      </c>
      <c r="F112" s="1927">
        <f t="shared" si="6"/>
        <v>0</v>
      </c>
      <c r="G112" s="1790">
        <f t="shared" si="14"/>
        <v>0</v>
      </c>
    </row>
    <row r="113" spans="1:7" x14ac:dyDescent="0.25">
      <c r="A113" s="1650"/>
      <c r="B113" s="1664"/>
      <c r="C113" s="1651"/>
      <c r="D113" s="1841"/>
      <c r="E113" s="1537">
        <f t="shared" ref="E113:E125" si="15">IF(D113&lt;=25000,D113,IF(D113&gt;25000,25000,0))</f>
        <v>0</v>
      </c>
      <c r="F113" s="1927">
        <f t="shared" si="6"/>
        <v>0</v>
      </c>
      <c r="G113" s="1790">
        <f t="shared" ref="G113:G125" si="16">IF(F113=0,0,D113-F113)</f>
        <v>0</v>
      </c>
    </row>
    <row r="114" spans="1:7" x14ac:dyDescent="0.25">
      <c r="A114" s="1650"/>
      <c r="B114" s="1664"/>
      <c r="C114" s="1651"/>
      <c r="D114" s="1841"/>
      <c r="E114" s="1537">
        <f t="shared" si="15"/>
        <v>0</v>
      </c>
      <c r="F114" s="1927">
        <f t="shared" si="6"/>
        <v>0</v>
      </c>
      <c r="G114" s="1790">
        <f t="shared" si="16"/>
        <v>0</v>
      </c>
    </row>
    <row r="115" spans="1:7" x14ac:dyDescent="0.25">
      <c r="A115" s="1650"/>
      <c r="B115" s="1664"/>
      <c r="C115" s="1651"/>
      <c r="D115" s="1841"/>
      <c r="E115" s="1537">
        <f t="shared" si="15"/>
        <v>0</v>
      </c>
      <c r="F115" s="1927">
        <f t="shared" si="6"/>
        <v>0</v>
      </c>
      <c r="G115" s="1790">
        <f t="shared" si="16"/>
        <v>0</v>
      </c>
    </row>
    <row r="116" spans="1:7" x14ac:dyDescent="0.25">
      <c r="A116" s="1650"/>
      <c r="B116" s="1664"/>
      <c r="C116" s="1651"/>
      <c r="D116" s="1841"/>
      <c r="E116" s="1537">
        <f t="shared" si="15"/>
        <v>0</v>
      </c>
      <c r="F116" s="1927">
        <f t="shared" si="6"/>
        <v>0</v>
      </c>
      <c r="G116" s="1790">
        <f t="shared" si="16"/>
        <v>0</v>
      </c>
    </row>
    <row r="117" spans="1:7" x14ac:dyDescent="0.25">
      <c r="A117" s="1650"/>
      <c r="B117" s="1664"/>
      <c r="C117" s="1651"/>
      <c r="D117" s="1841"/>
      <c r="E117" s="1537">
        <f t="shared" si="15"/>
        <v>0</v>
      </c>
      <c r="F117" s="1927">
        <f t="shared" si="6"/>
        <v>0</v>
      </c>
      <c r="G117" s="1790">
        <f t="shared" si="16"/>
        <v>0</v>
      </c>
    </row>
    <row r="118" spans="1:7" x14ac:dyDescent="0.25">
      <c r="A118" s="1650"/>
      <c r="B118" s="1664"/>
      <c r="C118" s="1651"/>
      <c r="D118" s="1841"/>
      <c r="E118" s="1537">
        <f t="shared" si="15"/>
        <v>0</v>
      </c>
      <c r="F118" s="1927">
        <f t="shared" si="6"/>
        <v>0</v>
      </c>
      <c r="G118" s="1790">
        <f t="shared" si="16"/>
        <v>0</v>
      </c>
    </row>
    <row r="119" spans="1:7" x14ac:dyDescent="0.25">
      <c r="A119" s="1650"/>
      <c r="B119" s="1664"/>
      <c r="C119" s="1651"/>
      <c r="D119" s="1841"/>
      <c r="E119" s="1537">
        <f t="shared" si="15"/>
        <v>0</v>
      </c>
      <c r="F119" s="1927">
        <f t="shared" si="6"/>
        <v>0</v>
      </c>
      <c r="G119" s="1790">
        <f t="shared" si="16"/>
        <v>0</v>
      </c>
    </row>
    <row r="120" spans="1:7" x14ac:dyDescent="0.25">
      <c r="A120" s="1650"/>
      <c r="B120" s="1664"/>
      <c r="C120" s="1651"/>
      <c r="D120" s="1841"/>
      <c r="E120" s="1537">
        <f t="shared" si="15"/>
        <v>0</v>
      </c>
      <c r="F120" s="1927">
        <f t="shared" si="6"/>
        <v>0</v>
      </c>
      <c r="G120" s="1790">
        <f t="shared" si="16"/>
        <v>0</v>
      </c>
    </row>
    <row r="121" spans="1:7" x14ac:dyDescent="0.25">
      <c r="A121" s="1650"/>
      <c r="B121" s="1664"/>
      <c r="C121" s="1651"/>
      <c r="D121" s="1841"/>
      <c r="E121" s="1537">
        <f t="shared" si="15"/>
        <v>0</v>
      </c>
      <c r="F121" s="1927">
        <f t="shared" si="6"/>
        <v>0</v>
      </c>
      <c r="G121" s="1790">
        <f t="shared" si="16"/>
        <v>0</v>
      </c>
    </row>
    <row r="122" spans="1:7" x14ac:dyDescent="0.25">
      <c r="A122" s="1650"/>
      <c r="B122" s="1664"/>
      <c r="C122" s="1651"/>
      <c r="D122" s="1841"/>
      <c r="E122" s="1537">
        <f t="shared" si="15"/>
        <v>0</v>
      </c>
      <c r="F122" s="1927">
        <f t="shared" si="6"/>
        <v>0</v>
      </c>
      <c r="G122" s="1790">
        <f t="shared" si="16"/>
        <v>0</v>
      </c>
    </row>
    <row r="123" spans="1:7" x14ac:dyDescent="0.25">
      <c r="A123" s="1650"/>
      <c r="B123" s="1664"/>
      <c r="C123" s="1651"/>
      <c r="D123" s="1841"/>
      <c r="E123" s="1537">
        <f t="shared" si="15"/>
        <v>0</v>
      </c>
      <c r="F123" s="1927">
        <f t="shared" si="6"/>
        <v>0</v>
      </c>
      <c r="G123" s="1790">
        <f t="shared" si="16"/>
        <v>0</v>
      </c>
    </row>
    <row r="124" spans="1:7" x14ac:dyDescent="0.25">
      <c r="A124" s="1650"/>
      <c r="B124" s="1664"/>
      <c r="C124" s="1651"/>
      <c r="D124" s="1841"/>
      <c r="E124" s="1537">
        <f t="shared" si="15"/>
        <v>0</v>
      </c>
      <c r="F124" s="1927">
        <f t="shared" si="6"/>
        <v>0</v>
      </c>
      <c r="G124" s="1790">
        <f t="shared" si="16"/>
        <v>0</v>
      </c>
    </row>
    <row r="125" spans="1:7" x14ac:dyDescent="0.25">
      <c r="A125" s="1650"/>
      <c r="B125" s="1664"/>
      <c r="C125" s="1651"/>
      <c r="D125" s="1841"/>
      <c r="E125" s="1537">
        <f t="shared" si="15"/>
        <v>0</v>
      </c>
      <c r="F125" s="1927">
        <f t="shared" si="6"/>
        <v>0</v>
      </c>
      <c r="G125" s="1790">
        <f t="shared" si="16"/>
        <v>0</v>
      </c>
    </row>
    <row r="126" spans="1:7" x14ac:dyDescent="0.25">
      <c r="A126" s="1650"/>
      <c r="B126" s="1664"/>
      <c r="C126" s="1651"/>
      <c r="D126" s="1841"/>
      <c r="E126" s="1537">
        <f t="shared" ref="E126:E134" si="17">IF(D126&lt;=25000,D126,IF(D126&gt;25000,25000,0))</f>
        <v>0</v>
      </c>
      <c r="F126" s="1927">
        <f t="shared" si="6"/>
        <v>0</v>
      </c>
      <c r="G126" s="1790">
        <f t="shared" ref="G126:G134" si="18">IF(F126=0,0,D126-F126)</f>
        <v>0</v>
      </c>
    </row>
    <row r="127" spans="1:7" x14ac:dyDescent="0.25">
      <c r="A127" s="1650"/>
      <c r="B127" s="1664"/>
      <c r="C127" s="1651"/>
      <c r="D127" s="1841"/>
      <c r="E127" s="1537">
        <f t="shared" si="17"/>
        <v>0</v>
      </c>
      <c r="F127" s="1927">
        <f t="shared" si="6"/>
        <v>0</v>
      </c>
      <c r="G127" s="1790">
        <f t="shared" si="18"/>
        <v>0</v>
      </c>
    </row>
    <row r="128" spans="1:7" x14ac:dyDescent="0.25">
      <c r="A128" s="1650"/>
      <c r="B128" s="1664"/>
      <c r="C128" s="1651"/>
      <c r="D128" s="1841"/>
      <c r="E128" s="1537">
        <f t="shared" si="17"/>
        <v>0</v>
      </c>
      <c r="F128" s="1927">
        <f t="shared" si="6"/>
        <v>0</v>
      </c>
      <c r="G128" s="1790">
        <f t="shared" si="18"/>
        <v>0</v>
      </c>
    </row>
    <row r="129" spans="1:7" x14ac:dyDescent="0.25">
      <c r="A129" s="1650"/>
      <c r="B129" s="1664"/>
      <c r="C129" s="1651"/>
      <c r="D129" s="1841"/>
      <c r="E129" s="1537">
        <f t="shared" si="17"/>
        <v>0</v>
      </c>
      <c r="F129" s="1927">
        <f t="shared" si="6"/>
        <v>0</v>
      </c>
      <c r="G129" s="1790">
        <f t="shared" si="18"/>
        <v>0</v>
      </c>
    </row>
    <row r="130" spans="1:7" x14ac:dyDescent="0.25">
      <c r="A130" s="1650"/>
      <c r="B130" s="1664"/>
      <c r="C130" s="1651"/>
      <c r="D130" s="1841"/>
      <c r="E130" s="1537">
        <f t="shared" si="17"/>
        <v>0</v>
      </c>
      <c r="F130" s="1927">
        <f t="shared" si="6"/>
        <v>0</v>
      </c>
      <c r="G130" s="1790">
        <f t="shared" si="18"/>
        <v>0</v>
      </c>
    </row>
    <row r="131" spans="1:7" x14ac:dyDescent="0.25">
      <c r="A131" s="1650"/>
      <c r="B131" s="1834"/>
      <c r="C131" s="1651"/>
      <c r="D131" s="1841"/>
      <c r="E131" s="1537">
        <f t="shared" si="17"/>
        <v>0</v>
      </c>
      <c r="F131" s="1927">
        <f t="shared" si="6"/>
        <v>0</v>
      </c>
      <c r="G131" s="1790">
        <f t="shared" si="18"/>
        <v>0</v>
      </c>
    </row>
    <row r="132" spans="1:7" x14ac:dyDescent="0.25">
      <c r="A132" s="1650"/>
      <c r="B132" s="1834"/>
      <c r="C132" s="1651"/>
      <c r="D132" s="1841"/>
      <c r="E132" s="1537">
        <f t="shared" si="17"/>
        <v>0</v>
      </c>
      <c r="F132" s="1927">
        <f t="shared" si="6"/>
        <v>0</v>
      </c>
      <c r="G132" s="1790">
        <f t="shared" si="18"/>
        <v>0</v>
      </c>
    </row>
    <row r="133" spans="1:7" x14ac:dyDescent="0.25">
      <c r="A133" s="1650"/>
      <c r="B133" s="1664"/>
      <c r="C133" s="1651"/>
      <c r="D133" s="1841"/>
      <c r="E133" s="1537">
        <f t="shared" si="17"/>
        <v>0</v>
      </c>
      <c r="F133" s="1927">
        <f t="shared" si="6"/>
        <v>0</v>
      </c>
      <c r="G133" s="1790">
        <f t="shared" si="18"/>
        <v>0</v>
      </c>
    </row>
    <row r="134" spans="1:7" x14ac:dyDescent="0.25">
      <c r="A134" s="1650"/>
      <c r="B134" s="1664"/>
      <c r="C134" s="1651"/>
      <c r="D134" s="1841"/>
      <c r="E134" s="1537">
        <f t="shared" si="17"/>
        <v>0</v>
      </c>
      <c r="F134" s="1927">
        <f t="shared" si="6"/>
        <v>0</v>
      </c>
      <c r="G134" s="1790">
        <f t="shared" si="18"/>
        <v>0</v>
      </c>
    </row>
    <row r="135" spans="1:7" x14ac:dyDescent="0.25">
      <c r="A135" s="1650"/>
      <c r="B135" s="1664"/>
      <c r="C135" s="1651"/>
      <c r="D135" s="1841"/>
      <c r="E135" s="1537">
        <f t="shared" ref="E135:E139" si="19">IF(D135&lt;=25000,D135,IF(D135&gt;25000,25000,0))</f>
        <v>0</v>
      </c>
      <c r="F135" s="1927">
        <f t="shared" si="6"/>
        <v>0</v>
      </c>
      <c r="G135" s="1790">
        <f t="shared" ref="G135:G139" si="20">IF(F135=0,0,D135-F135)</f>
        <v>0</v>
      </c>
    </row>
    <row r="136" spans="1:7" x14ac:dyDescent="0.25">
      <c r="A136" s="1650"/>
      <c r="B136" s="1664"/>
      <c r="C136" s="1651"/>
      <c r="D136" s="1841"/>
      <c r="E136" s="1537">
        <f t="shared" si="19"/>
        <v>0</v>
      </c>
      <c r="F136" s="1927">
        <f t="shared" si="6"/>
        <v>0</v>
      </c>
      <c r="G136" s="1790">
        <f t="shared" si="20"/>
        <v>0</v>
      </c>
    </row>
    <row r="137" spans="1:7" x14ac:dyDescent="0.25">
      <c r="A137" s="1650"/>
      <c r="B137" s="1664"/>
      <c r="C137" s="1651"/>
      <c r="D137" s="1841"/>
      <c r="E137" s="1537">
        <f t="shared" si="19"/>
        <v>0</v>
      </c>
      <c r="F137" s="1927">
        <f t="shared" si="6"/>
        <v>0</v>
      </c>
      <c r="G137" s="1790">
        <f t="shared" si="20"/>
        <v>0</v>
      </c>
    </row>
    <row r="138" spans="1:7" x14ac:dyDescent="0.25">
      <c r="A138" s="1650"/>
      <c r="B138" s="1664"/>
      <c r="C138" s="1651"/>
      <c r="D138" s="1841"/>
      <c r="E138" s="1537">
        <f t="shared" si="19"/>
        <v>0</v>
      </c>
      <c r="F138" s="1927">
        <f t="shared" si="6"/>
        <v>0</v>
      </c>
      <c r="G138" s="1790">
        <f t="shared" si="20"/>
        <v>0</v>
      </c>
    </row>
    <row r="139" spans="1:7" x14ac:dyDescent="0.25">
      <c r="A139" s="1650"/>
      <c r="B139" s="1664"/>
      <c r="C139" s="1651"/>
      <c r="D139" s="1841"/>
      <c r="E139" s="1537">
        <f t="shared" si="19"/>
        <v>0</v>
      </c>
      <c r="F139" s="1927">
        <f t="shared" si="6"/>
        <v>0</v>
      </c>
      <c r="G139" s="1790">
        <f t="shared" si="20"/>
        <v>0</v>
      </c>
    </row>
    <row r="140" spans="1:7" x14ac:dyDescent="0.25">
      <c r="A140" s="1650"/>
      <c r="B140" s="1663"/>
      <c r="C140" s="1651"/>
      <c r="D140" s="1841"/>
      <c r="E140" s="1537">
        <f t="shared" si="2"/>
        <v>0</v>
      </c>
      <c r="F140" s="1927">
        <f t="shared" si="6"/>
        <v>0</v>
      </c>
      <c r="G140" s="1790">
        <f t="shared" si="3"/>
        <v>0</v>
      </c>
    </row>
    <row r="141" spans="1:7" x14ac:dyDescent="0.25">
      <c r="A141" s="1793" t="s">
        <v>156</v>
      </c>
      <c r="B141" s="1794"/>
      <c r="C141" s="1795"/>
      <c r="D141" s="1791">
        <f>SUM(D17:D140)</f>
        <v>60981</v>
      </c>
      <c r="E141" s="1538">
        <f t="shared" si="0"/>
        <v>25000</v>
      </c>
      <c r="F141" s="1928">
        <f>SUM(F17:F140)</f>
        <v>25000</v>
      </c>
      <c r="G141" s="1792">
        <f>SUM(G17:G140)</f>
        <v>35981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81" t="s">
        <v>1679</v>
      </c>
      <c r="B5" s="2382"/>
      <c r="C5" s="2382"/>
      <c r="D5" s="2382"/>
      <c r="E5" s="2382"/>
      <c r="F5" s="2382"/>
      <c r="G5" s="2383"/>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1930</v>
      </c>
      <c r="B10" s="968"/>
      <c r="C10" s="973"/>
      <c r="D10" s="969"/>
      <c r="E10" s="970"/>
      <c r="F10" s="971"/>
      <c r="G10" s="972"/>
      <c r="H10" s="162"/>
      <c r="I10" s="162"/>
    </row>
    <row r="11" spans="1:9" s="665" customFormat="1" ht="22.5" customHeight="1" x14ac:dyDescent="0.2">
      <c r="A11" s="2386" t="s">
        <v>1974</v>
      </c>
      <c r="B11" s="2387"/>
      <c r="C11" s="2387"/>
      <c r="D11" s="2388"/>
      <c r="E11" s="974"/>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4299136</v>
      </c>
      <c r="F19" s="1796"/>
      <c r="G19" s="1798">
        <f>'Expenditures 15-22'!K33-SUM('Expenditures 15-22'!G33,'Expenditures 15-22'!I33)+'Expenditures 15-22'!D229</f>
        <v>4299136</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2349199</v>
      </c>
      <c r="F21" s="1799"/>
      <c r="G21" s="1802">
        <f>'Expenditures 15-22'!K42-SUM('Expenditures 15-22'!G42,'Expenditures 15-22'!I42)+'Expenditures 15-22'!K120-SUM('Expenditures 15-22'!G120,'Expenditures 15-22'!I120)+'Expenditures 15-22'!K180-SUM('Expenditures 15-22'!G180,'Expenditures 15-22'!I180)+'Expenditures 15-22'!D238</f>
        <v>2349199</v>
      </c>
      <c r="H21" s="984"/>
      <c r="I21" s="162"/>
    </row>
    <row r="22" spans="1:9" s="665" customFormat="1" ht="12" customHeight="1" x14ac:dyDescent="0.2">
      <c r="A22" s="991" t="s">
        <v>564</v>
      </c>
      <c r="B22" s="992"/>
      <c r="C22" s="990">
        <v>2200</v>
      </c>
      <c r="D22" s="1799"/>
      <c r="E22" s="1801">
        <f>'Expenditures 15-22'!K47-SUM('Expenditures 15-22'!G47,'Expenditures 15-22'!I47)+'Expenditures 15-22'!D243</f>
        <v>854785</v>
      </c>
      <c r="F22" s="1799"/>
      <c r="G22" s="1802">
        <f>'Expenditures 15-22'!K47-SUM('Expenditures 15-22'!G47,'Expenditures 15-22'!I47)+'Expenditures 15-22'!D243</f>
        <v>854785</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357964</v>
      </c>
      <c r="F23" s="1799"/>
      <c r="G23" s="1801">
        <f>'Expenditures 15-22'!K53-SUM('Expenditures 15-22'!G53,'Expenditures 15-22'!I53)+'Expenditures 15-22'!D257+'Expenditures 15-22'!K330-SUM('Expenditures 15-22'!G330,'Expenditures 15-22'!I330)</f>
        <v>357964</v>
      </c>
      <c r="H23" s="984"/>
      <c r="I23" s="162"/>
    </row>
    <row r="24" spans="1:9" s="665" customFormat="1" ht="12" customHeight="1" x14ac:dyDescent="0.2">
      <c r="A24" s="991" t="s">
        <v>566</v>
      </c>
      <c r="B24" s="992"/>
      <c r="C24" s="990">
        <v>2400</v>
      </c>
      <c r="D24" s="1799"/>
      <c r="E24" s="1801">
        <f>'Expenditures 15-22'!K57-SUM('Expenditures 15-22'!G57,'Expenditures 15-22'!I57)+'Expenditures 15-22'!D261</f>
        <v>126046</v>
      </c>
      <c r="F24" s="1799"/>
      <c r="G24" s="1802">
        <f>'Expenditures 15-22'!K57-SUM('Expenditures 15-22'!G57,'Expenditures 15-22'!I57)+'Expenditures 15-22'!D261</f>
        <v>126046</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65230</v>
      </c>
      <c r="E27" s="1801">
        <f>E8</f>
        <v>0</v>
      </c>
      <c r="F27" s="1801">
        <f>'Expenditures 15-22'!K60-SUM('Expenditures 15-22'!G60,'Expenditures 15-22'!I60)+'Expenditures 15-22'!D264-E8</f>
        <v>65230</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118871</v>
      </c>
      <c r="F28" s="1803">
        <f>'Expenditures 15-22'!K61-SUM('Expenditures 15-22'!G61,'Expenditures 15-22'!I61)+'Expenditures 15-22'!K124-SUM('Expenditures 15-22'!G124,'Expenditures 15-22'!I124)+'Expenditures 15-22'!D266-E9</f>
        <v>118871</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0</v>
      </c>
      <c r="F29" s="1799"/>
      <c r="G29" s="1802">
        <f>'Expenditures 15-22'!K62-SUM('Expenditures 15-22'!G62,'Expenditures 15-22'!I62)+'Expenditures 15-22'!K125-SUM('Expenditures 15-22'!G125,'Expenditures 15-22'!I125)+'Expenditures 15-22'!K182-SUM('Expenditures 15-22'!G182,'Expenditures 15-22'!I182)+'Expenditures 15-22'!D267</f>
        <v>0</v>
      </c>
      <c r="H29" s="982"/>
    </row>
    <row r="30" spans="1:9" ht="12" customHeight="1" x14ac:dyDescent="0.2">
      <c r="A30" s="991" t="s">
        <v>100</v>
      </c>
      <c r="B30" s="994"/>
      <c r="C30" s="990">
        <v>2560</v>
      </c>
      <c r="D30" s="1799"/>
      <c r="E30" s="1801">
        <f>'Expenditures 15-22'!K63-SUM('Expenditures 15-22'!G63,'Expenditures 15-22'!I63)+'Expenditures 15-22'!D268-E10</f>
        <v>61054</v>
      </c>
      <c r="F30" s="1799"/>
      <c r="G30" s="1801">
        <f>'Expenditures 15-22'!K63-SUM('Expenditures 15-22'!G63,'Expenditures 15-22'!I63)+'Expenditures 15-22'!D268-E10</f>
        <v>61054</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14042</v>
      </c>
      <c r="F33" s="1799"/>
      <c r="G33" s="1801">
        <f>'Expenditures 15-22'!K67-SUM('Expenditures 15-22'!G67,'Expenditures 15-22'!I67)+'Expenditures 15-22'!D272</f>
        <v>14042</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1930</v>
      </c>
      <c r="F35" s="1799"/>
      <c r="G35" s="1801">
        <f>'Expenditures 15-22'!K69-SUM('Expenditures 15-22'!G69,'Expenditures 15-22'!I69)+'Expenditures 15-22'!D274</f>
        <v>1930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39257</v>
      </c>
      <c r="F39" s="1799"/>
      <c r="G39" s="1801">
        <f>'Expenditures 15-22'!K75-SUM('Expenditures 15-22'!G75,'Expenditures 15-22'!I75)+'Expenditures 15-22'!K130-SUM('Expenditures 15-22'!G130,'Expenditures 15-22'!I130)+'Expenditures 15-22'!K185-SUM('Expenditures 15-22'!G185,'Expenditures 15-22'!I185)+'Expenditures 15-22'!D280</f>
        <v>39257</v>
      </c>
    </row>
    <row r="40" spans="1:7" ht="12" customHeight="1" x14ac:dyDescent="0.2">
      <c r="A40" s="987" t="s">
        <v>1820</v>
      </c>
      <c r="B40" s="988"/>
      <c r="C40" s="990"/>
      <c r="D40" s="1799"/>
      <c r="E40" s="1803">
        <f>-'Contracts Paid in CY 29'!G141</f>
        <v>-35981</v>
      </c>
      <c r="F40" s="1799"/>
      <c r="G40" s="1803">
        <f>-'Contracts Paid in CY 29'!G141</f>
        <v>-35981</v>
      </c>
    </row>
    <row r="41" spans="1:7" ht="12" customHeight="1" x14ac:dyDescent="0.2">
      <c r="A41" s="995" t="s">
        <v>156</v>
      </c>
      <c r="B41" s="996"/>
      <c r="C41" s="997"/>
      <c r="D41" s="1803">
        <f>SUM(D19:D39)</f>
        <v>65230</v>
      </c>
      <c r="E41" s="1803">
        <f>SUM(E19:E40)</f>
        <v>8186303</v>
      </c>
      <c r="F41" s="1803">
        <f>SUM(F19:F39)</f>
        <v>184101</v>
      </c>
      <c r="G41" s="1803">
        <f>SUM(G19:G40)</f>
        <v>8067432</v>
      </c>
    </row>
    <row r="42" spans="1:7" x14ac:dyDescent="0.2">
      <c r="A42" s="984"/>
      <c r="B42" s="162"/>
      <c r="C42" s="998"/>
      <c r="D42" s="2384" t="s">
        <v>522</v>
      </c>
      <c r="E42" s="2385"/>
      <c r="F42" s="999" t="s">
        <v>523</v>
      </c>
      <c r="G42" s="1000"/>
    </row>
    <row r="43" spans="1:7" ht="12" customHeight="1" x14ac:dyDescent="0.2">
      <c r="A43" s="984"/>
      <c r="B43" s="162"/>
      <c r="C43" s="998"/>
      <c r="D43" s="1804" t="s">
        <v>473</v>
      </c>
      <c r="E43" s="1805">
        <f>D41</f>
        <v>65230</v>
      </c>
      <c r="F43" s="1804" t="s">
        <v>473</v>
      </c>
      <c r="G43" s="1805">
        <f>F41</f>
        <v>184101</v>
      </c>
    </row>
    <row r="44" spans="1:7" ht="12" customHeight="1" x14ac:dyDescent="0.2">
      <c r="A44" s="984"/>
      <c r="B44" s="162"/>
      <c r="C44" s="998"/>
      <c r="D44" s="1804" t="s">
        <v>474</v>
      </c>
      <c r="E44" s="1805">
        <f>E41</f>
        <v>8186303</v>
      </c>
      <c r="F44" s="1804" t="s">
        <v>474</v>
      </c>
      <c r="G44" s="1805">
        <f>G41</f>
        <v>8067432</v>
      </c>
    </row>
    <row r="45" spans="1:7" ht="12" customHeight="1" x14ac:dyDescent="0.2">
      <c r="A45" s="984"/>
      <c r="B45" s="162"/>
      <c r="C45" s="162"/>
      <c r="D45" s="1806" t="s">
        <v>1006</v>
      </c>
      <c r="E45" s="1807">
        <f>(E43/E44)</f>
        <v>7.9681878376600523E-3</v>
      </c>
      <c r="F45" s="1806" t="s">
        <v>1006</v>
      </c>
      <c r="G45" s="1807">
        <f>(G43/G44)</f>
        <v>2.282027291956102E-2</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L31" sqref="L31"/>
      <selection pane="bottomLeft" activeCell="A5" sqref="A5:F5"/>
    </sheetView>
  </sheetViews>
  <sheetFormatPr defaultColWidth="9.140625" defaultRowHeight="12.75" x14ac:dyDescent="0.2"/>
  <cols>
    <col min="1" max="1" width="54.5703125" style="1871" customWidth="1"/>
    <col min="2" max="2" width="4.140625" style="1871" customWidth="1"/>
    <col min="3" max="4" width="9.85546875" style="1842" customWidth="1"/>
    <col min="5" max="5" width="12.5703125" style="1872" customWidth="1"/>
    <col min="6" max="6" width="67.5703125" style="1842" customWidth="1"/>
    <col min="7" max="7" width="9.140625" style="1842" customWidth="1"/>
    <col min="8" max="8" width="5.5703125" style="1873" bestFit="1" customWidth="1"/>
    <col min="9" max="10" width="2" style="1873" bestFit="1" customWidth="1"/>
    <col min="11" max="11" width="9" style="1873" customWidth="1"/>
    <col min="12" max="16384" width="9.140625" style="1842"/>
  </cols>
  <sheetData>
    <row r="1" spans="1:10" x14ac:dyDescent="0.2">
      <c r="A1" s="2403" t="s">
        <v>1379</v>
      </c>
      <c r="B1" s="2403"/>
      <c r="C1" s="2403"/>
      <c r="D1" s="2403"/>
      <c r="E1" s="2403"/>
      <c r="F1" s="2403"/>
    </row>
    <row r="2" spans="1:10" x14ac:dyDescent="0.2">
      <c r="A2" s="1882" t="s">
        <v>1909</v>
      </c>
      <c r="B2" s="1843"/>
      <c r="C2" s="1882"/>
      <c r="D2" s="1843"/>
      <c r="E2" s="1843"/>
      <c r="F2" s="1844"/>
    </row>
    <row r="3" spans="1:10" x14ac:dyDescent="0.2">
      <c r="A3" s="1882" t="s">
        <v>1975</v>
      </c>
      <c r="B3" s="1843"/>
      <c r="C3" s="1882"/>
      <c r="D3" s="1843"/>
      <c r="E3" s="1843"/>
      <c r="F3" s="1844"/>
    </row>
    <row r="4" spans="1:10" ht="3.75" customHeight="1" x14ac:dyDescent="0.2">
      <c r="A4" s="1843"/>
      <c r="B4" s="1843"/>
      <c r="C4" s="1843"/>
      <c r="D4" s="1843"/>
      <c r="E4" s="1843"/>
      <c r="F4" s="1844"/>
    </row>
    <row r="5" spans="1:10" ht="15" x14ac:dyDescent="0.25">
      <c r="A5" s="2404" t="s">
        <v>1546</v>
      </c>
      <c r="B5" s="2405"/>
      <c r="C5" s="2406"/>
      <c r="D5" s="2406"/>
      <c r="E5" s="2406"/>
      <c r="F5" s="2406"/>
    </row>
    <row r="6" spans="1:10" ht="12" customHeight="1" x14ac:dyDescent="0.25">
      <c r="A6" s="1845"/>
      <c r="B6" s="1846"/>
      <c r="C6" s="2407" t="str">
        <f>COVER!A17</f>
        <v>Henry Stark County Spec Ed Dist</v>
      </c>
      <c r="D6" s="2407"/>
      <c r="E6" s="2407"/>
      <c r="F6" s="1847"/>
    </row>
    <row r="7" spans="1:10" ht="11.25" customHeight="1" thickBot="1" x14ac:dyDescent="0.3">
      <c r="A7" s="1845"/>
      <c r="B7" s="1846"/>
      <c r="C7" s="2408">
        <f>COVER!A13</f>
        <v>28037801060</v>
      </c>
      <c r="D7" s="2408"/>
      <c r="E7" s="2408"/>
      <c r="F7" s="1847"/>
    </row>
    <row r="8" spans="1:10" ht="25.5" customHeight="1" thickBot="1" x14ac:dyDescent="0.25">
      <c r="A8" s="1888" t="s">
        <v>1905</v>
      </c>
      <c r="B8" s="1848"/>
      <c r="C8" s="1884" t="s">
        <v>1681</v>
      </c>
      <c r="D8" s="1883" t="s">
        <v>1682</v>
      </c>
      <c r="E8" s="1885" t="s">
        <v>1380</v>
      </c>
      <c r="F8" s="1883" t="s">
        <v>1683</v>
      </c>
      <c r="H8" s="1849" t="b">
        <v>0</v>
      </c>
    </row>
    <row r="9" spans="1:10" ht="15.75" customHeight="1" x14ac:dyDescent="0.2">
      <c r="A9" s="1850" t="s">
        <v>1542</v>
      </c>
      <c r="B9" s="1851"/>
      <c r="C9" s="1852"/>
      <c r="D9" s="1852"/>
      <c r="E9" s="1853"/>
      <c r="F9" s="1854"/>
    </row>
    <row r="10" spans="1:10" ht="27.75" customHeight="1" x14ac:dyDescent="0.2">
      <c r="A10" s="1855" t="s">
        <v>1680</v>
      </c>
      <c r="B10" s="1856"/>
      <c r="C10" s="1857"/>
      <c r="D10" s="1857"/>
      <c r="E10" s="1886" t="s">
        <v>1381</v>
      </c>
      <c r="F10" s="1887" t="s">
        <v>1382</v>
      </c>
    </row>
    <row r="11" spans="1:10" ht="12" customHeight="1" x14ac:dyDescent="0.2">
      <c r="A11" s="1858" t="s">
        <v>1383</v>
      </c>
      <c r="B11" s="1859"/>
      <c r="C11" s="1860"/>
      <c r="D11" s="1860"/>
      <c r="E11" s="1861"/>
      <c r="F11" s="1862"/>
      <c r="H11" s="1873">
        <f>IF(C11="X",5,0)</f>
        <v>0</v>
      </c>
      <c r="I11" s="1873">
        <f>IF(D11="X",5,0)</f>
        <v>0</v>
      </c>
      <c r="J11" s="1873">
        <f>IF(E11="X",5,0)</f>
        <v>0</v>
      </c>
    </row>
    <row r="12" spans="1:10" ht="12" customHeight="1" x14ac:dyDescent="0.2">
      <c r="A12" s="1858" t="s">
        <v>1384</v>
      </c>
      <c r="B12" s="1859"/>
      <c r="C12" s="1860"/>
      <c r="D12" s="1860"/>
      <c r="E12" s="1863"/>
      <c r="F12" s="1862"/>
      <c r="H12" s="1873">
        <f t="shared" ref="H12:H33" si="0">IF(C12="X",5,0)</f>
        <v>0</v>
      </c>
      <c r="I12" s="1873">
        <f t="shared" ref="I12:I33" si="1">IF(D12="X",5,0)</f>
        <v>0</v>
      </c>
      <c r="J12" s="1873">
        <f t="shared" ref="J12:J33" si="2">IF(E12="X",5,0)</f>
        <v>0</v>
      </c>
    </row>
    <row r="13" spans="1:10" ht="12" customHeight="1" x14ac:dyDescent="0.2">
      <c r="A13" s="1858" t="s">
        <v>1385</v>
      </c>
      <c r="B13" s="1859"/>
      <c r="C13" s="1860"/>
      <c r="D13" s="1860"/>
      <c r="E13" s="1863"/>
      <c r="F13" s="1862"/>
      <c r="H13" s="1873">
        <f t="shared" si="0"/>
        <v>0</v>
      </c>
      <c r="I13" s="1873">
        <f t="shared" si="1"/>
        <v>0</v>
      </c>
      <c r="J13" s="1873">
        <f t="shared" si="2"/>
        <v>0</v>
      </c>
    </row>
    <row r="14" spans="1:10" ht="12" customHeight="1" x14ac:dyDescent="0.2">
      <c r="A14" s="1858" t="s">
        <v>1386</v>
      </c>
      <c r="B14" s="1859"/>
      <c r="C14" s="1860"/>
      <c r="D14" s="1860"/>
      <c r="E14" s="1863"/>
      <c r="F14" s="1862"/>
      <c r="H14" s="1873">
        <f t="shared" si="0"/>
        <v>0</v>
      </c>
      <c r="I14" s="1873">
        <f t="shared" si="1"/>
        <v>0</v>
      </c>
      <c r="J14" s="1873">
        <f t="shared" si="2"/>
        <v>0</v>
      </c>
    </row>
    <row r="15" spans="1:10" ht="12" customHeight="1" x14ac:dyDescent="0.2">
      <c r="A15" s="1858" t="s">
        <v>1387</v>
      </c>
      <c r="B15" s="1859"/>
      <c r="C15" s="1860"/>
      <c r="D15" s="1860"/>
      <c r="E15" s="1863"/>
      <c r="F15" s="1862"/>
      <c r="H15" s="1873">
        <f t="shared" si="0"/>
        <v>0</v>
      </c>
      <c r="I15" s="1873">
        <f t="shared" si="1"/>
        <v>0</v>
      </c>
      <c r="J15" s="1873">
        <f t="shared" si="2"/>
        <v>0</v>
      </c>
    </row>
    <row r="16" spans="1:10" ht="12" customHeight="1" x14ac:dyDescent="0.2">
      <c r="A16" s="1858" t="s">
        <v>1388</v>
      </c>
      <c r="B16" s="1859"/>
      <c r="C16" s="1860"/>
      <c r="D16" s="1860"/>
      <c r="E16" s="1863"/>
      <c r="F16" s="1862"/>
      <c r="H16" s="1873">
        <f t="shared" si="0"/>
        <v>0</v>
      </c>
      <c r="I16" s="1873">
        <f t="shared" si="1"/>
        <v>0</v>
      </c>
      <c r="J16" s="1873">
        <f t="shared" si="2"/>
        <v>0</v>
      </c>
    </row>
    <row r="17" spans="1:12" ht="12" customHeight="1" x14ac:dyDescent="0.2">
      <c r="A17" s="1858" t="s">
        <v>1389</v>
      </c>
      <c r="B17" s="1859"/>
      <c r="C17" s="1860"/>
      <c r="D17" s="1860"/>
      <c r="E17" s="1863"/>
      <c r="F17" s="1862"/>
      <c r="H17" s="1873">
        <f t="shared" si="0"/>
        <v>0</v>
      </c>
      <c r="I17" s="1873">
        <f t="shared" si="1"/>
        <v>0</v>
      </c>
      <c r="J17" s="1873">
        <f t="shared" si="2"/>
        <v>0</v>
      </c>
    </row>
    <row r="18" spans="1:12" ht="12" customHeight="1" x14ac:dyDescent="0.2">
      <c r="A18" s="1858" t="s">
        <v>1390</v>
      </c>
      <c r="B18" s="1859"/>
      <c r="C18" s="1860"/>
      <c r="D18" s="1860"/>
      <c r="E18" s="1863"/>
      <c r="F18" s="1862"/>
      <c r="H18" s="1873">
        <f t="shared" si="0"/>
        <v>0</v>
      </c>
      <c r="I18" s="1873">
        <f t="shared" si="1"/>
        <v>0</v>
      </c>
      <c r="J18" s="1873">
        <f t="shared" si="2"/>
        <v>0</v>
      </c>
    </row>
    <row r="19" spans="1:12" ht="12" customHeight="1" x14ac:dyDescent="0.2">
      <c r="A19" s="1858" t="s">
        <v>1527</v>
      </c>
      <c r="B19" s="1859"/>
      <c r="C19" s="1860"/>
      <c r="D19" s="1860"/>
      <c r="E19" s="1863"/>
      <c r="F19" s="1862"/>
      <c r="H19" s="1873">
        <f t="shared" si="0"/>
        <v>0</v>
      </c>
      <c r="I19" s="1873">
        <f t="shared" si="1"/>
        <v>0</v>
      </c>
      <c r="J19" s="1873">
        <f t="shared" si="2"/>
        <v>0</v>
      </c>
    </row>
    <row r="20" spans="1:12" ht="12" customHeight="1" x14ac:dyDescent="0.2">
      <c r="A20" s="1858" t="s">
        <v>1528</v>
      </c>
      <c r="B20" s="1859"/>
      <c r="C20" s="1860"/>
      <c r="D20" s="1860"/>
      <c r="E20" s="1863"/>
      <c r="F20" s="1862"/>
      <c r="H20" s="1873">
        <f t="shared" si="0"/>
        <v>0</v>
      </c>
      <c r="I20" s="1873">
        <f t="shared" si="1"/>
        <v>0</v>
      </c>
      <c r="J20" s="1873">
        <f t="shared" si="2"/>
        <v>0</v>
      </c>
    </row>
    <row r="21" spans="1:12" ht="12" customHeight="1" x14ac:dyDescent="0.2">
      <c r="A21" s="1858" t="s">
        <v>1529</v>
      </c>
      <c r="B21" s="1859"/>
      <c r="C21" s="1860"/>
      <c r="D21" s="1860"/>
      <c r="E21" s="1863"/>
      <c r="F21" s="1862"/>
      <c r="H21" s="1873">
        <f t="shared" si="0"/>
        <v>0</v>
      </c>
      <c r="I21" s="1873">
        <f t="shared" si="1"/>
        <v>0</v>
      </c>
      <c r="J21" s="1873">
        <f t="shared" si="2"/>
        <v>0</v>
      </c>
    </row>
    <row r="22" spans="1:12" ht="12" customHeight="1" x14ac:dyDescent="0.2">
      <c r="A22" s="1858" t="s">
        <v>1530</v>
      </c>
      <c r="B22" s="1859"/>
      <c r="C22" s="1860"/>
      <c r="D22" s="1860"/>
      <c r="E22" s="1863"/>
      <c r="F22" s="1862"/>
      <c r="H22" s="1873">
        <f t="shared" si="0"/>
        <v>0</v>
      </c>
      <c r="I22" s="1873">
        <f t="shared" si="1"/>
        <v>0</v>
      </c>
      <c r="J22" s="1873">
        <f t="shared" si="2"/>
        <v>0</v>
      </c>
    </row>
    <row r="23" spans="1:12" ht="12" customHeight="1" x14ac:dyDescent="0.2">
      <c r="A23" s="1858" t="s">
        <v>1531</v>
      </c>
      <c r="B23" s="1859"/>
      <c r="C23" s="1860"/>
      <c r="D23" s="1860"/>
      <c r="E23" s="1863"/>
      <c r="F23" s="1862"/>
      <c r="H23" s="1873">
        <f t="shared" si="0"/>
        <v>0</v>
      </c>
      <c r="I23" s="1873">
        <f t="shared" si="1"/>
        <v>0</v>
      </c>
      <c r="J23" s="1873">
        <f t="shared" si="2"/>
        <v>0</v>
      </c>
    </row>
    <row r="24" spans="1:12" ht="12" customHeight="1" x14ac:dyDescent="0.2">
      <c r="A24" s="1858" t="s">
        <v>1532</v>
      </c>
      <c r="B24" s="1859"/>
      <c r="C24" s="1860"/>
      <c r="D24" s="1860"/>
      <c r="E24" s="1863"/>
      <c r="F24" s="1862"/>
      <c r="H24" s="1873">
        <f t="shared" si="0"/>
        <v>0</v>
      </c>
      <c r="I24" s="1873">
        <f t="shared" si="1"/>
        <v>0</v>
      </c>
      <c r="J24" s="1873">
        <f t="shared" si="2"/>
        <v>0</v>
      </c>
    </row>
    <row r="25" spans="1:12" ht="12" customHeight="1" x14ac:dyDescent="0.2">
      <c r="A25" s="1858" t="s">
        <v>1533</v>
      </c>
      <c r="B25" s="1859"/>
      <c r="C25" s="1860"/>
      <c r="D25" s="1860"/>
      <c r="E25" s="1863"/>
      <c r="F25" s="1862"/>
      <c r="H25" s="1873">
        <f t="shared" si="0"/>
        <v>0</v>
      </c>
      <c r="I25" s="1873">
        <f t="shared" si="1"/>
        <v>0</v>
      </c>
      <c r="J25" s="1873">
        <f t="shared" si="2"/>
        <v>0</v>
      </c>
    </row>
    <row r="26" spans="1:12" ht="12" customHeight="1" x14ac:dyDescent="0.2">
      <c r="A26" s="1858" t="s">
        <v>1534</v>
      </c>
      <c r="B26" s="1859"/>
      <c r="C26" s="1860" t="s">
        <v>2067</v>
      </c>
      <c r="D26" s="1860" t="s">
        <v>2067</v>
      </c>
      <c r="E26" s="1863"/>
      <c r="F26" s="1862" t="s">
        <v>2082</v>
      </c>
      <c r="H26" s="1873">
        <f t="shared" si="0"/>
        <v>5</v>
      </c>
      <c r="I26" s="1873">
        <f t="shared" si="1"/>
        <v>5</v>
      </c>
      <c r="J26" s="1873">
        <f t="shared" si="2"/>
        <v>0</v>
      </c>
    </row>
    <row r="27" spans="1:12" ht="18.75" x14ac:dyDescent="0.2">
      <c r="A27" s="1858" t="s">
        <v>1535</v>
      </c>
      <c r="B27" s="1859"/>
      <c r="C27" s="1860"/>
      <c r="D27" s="1860"/>
      <c r="E27" s="1863"/>
      <c r="F27" s="1862"/>
      <c r="H27" s="1873">
        <f t="shared" si="0"/>
        <v>0</v>
      </c>
      <c r="I27" s="1873">
        <f t="shared" si="1"/>
        <v>0</v>
      </c>
      <c r="J27" s="1873">
        <f t="shared" si="2"/>
        <v>0</v>
      </c>
    </row>
    <row r="28" spans="1:12" ht="12" customHeight="1" x14ac:dyDescent="0.2">
      <c r="A28" s="1858" t="s">
        <v>1536</v>
      </c>
      <c r="B28" s="1859"/>
      <c r="C28" s="1860"/>
      <c r="D28" s="1860"/>
      <c r="E28" s="1863"/>
      <c r="F28" s="1862"/>
      <c r="H28" s="1873">
        <f t="shared" si="0"/>
        <v>0</v>
      </c>
      <c r="I28" s="1873">
        <f t="shared" si="1"/>
        <v>0</v>
      </c>
      <c r="J28" s="1873">
        <f t="shared" si="2"/>
        <v>0</v>
      </c>
    </row>
    <row r="29" spans="1:12" ht="12" customHeight="1" x14ac:dyDescent="0.2">
      <c r="A29" s="1858" t="s">
        <v>1537</v>
      </c>
      <c r="B29" s="1859"/>
      <c r="C29" s="1860"/>
      <c r="D29" s="1860"/>
      <c r="E29" s="1863"/>
      <c r="F29" s="1862"/>
      <c r="H29" s="1873">
        <f t="shared" si="0"/>
        <v>0</v>
      </c>
      <c r="I29" s="1873">
        <f t="shared" si="1"/>
        <v>0</v>
      </c>
      <c r="J29" s="1873">
        <f t="shared" si="2"/>
        <v>0</v>
      </c>
    </row>
    <row r="30" spans="1:12" ht="12" customHeight="1" x14ac:dyDescent="0.2">
      <c r="A30" s="1858" t="s">
        <v>1538</v>
      </c>
      <c r="B30" s="1859"/>
      <c r="C30" s="1860"/>
      <c r="D30" s="1860"/>
      <c r="E30" s="1863"/>
      <c r="F30" s="1862"/>
      <c r="H30" s="1873">
        <f t="shared" si="0"/>
        <v>0</v>
      </c>
      <c r="I30" s="1873">
        <f t="shared" si="1"/>
        <v>0</v>
      </c>
      <c r="J30" s="1873">
        <f t="shared" si="2"/>
        <v>0</v>
      </c>
    </row>
    <row r="31" spans="1:12" ht="12" customHeight="1" x14ac:dyDescent="0.2">
      <c r="A31" s="1858" t="s">
        <v>1539</v>
      </c>
      <c r="B31" s="1859"/>
      <c r="C31" s="1860"/>
      <c r="D31" s="1860"/>
      <c r="E31" s="1863"/>
      <c r="F31" s="1862"/>
      <c r="H31" s="1873">
        <f t="shared" si="0"/>
        <v>0</v>
      </c>
      <c r="I31" s="1873">
        <f t="shared" si="1"/>
        <v>0</v>
      </c>
      <c r="J31" s="1873">
        <f t="shared" si="2"/>
        <v>0</v>
      </c>
      <c r="L31" s="1864"/>
    </row>
    <row r="32" spans="1:12" ht="12" customHeight="1" x14ac:dyDescent="0.2">
      <c r="A32" s="1858" t="s">
        <v>1540</v>
      </c>
      <c r="B32" s="1859"/>
      <c r="C32" s="1860"/>
      <c r="D32" s="1860"/>
      <c r="E32" s="1863"/>
      <c r="F32" s="1862"/>
      <c r="H32" s="1873">
        <f t="shared" si="0"/>
        <v>0</v>
      </c>
      <c r="I32" s="1873">
        <f t="shared" si="1"/>
        <v>0</v>
      </c>
      <c r="J32" s="1873">
        <f t="shared" si="2"/>
        <v>0</v>
      </c>
    </row>
    <row r="33" spans="1:11" ht="12" customHeight="1" x14ac:dyDescent="0.2">
      <c r="A33" s="1858" t="s">
        <v>1541</v>
      </c>
      <c r="B33" s="1859"/>
      <c r="C33" s="1860"/>
      <c r="D33" s="1860"/>
      <c r="E33" s="1863"/>
      <c r="F33" s="1862"/>
      <c r="H33" s="1873">
        <f t="shared" si="0"/>
        <v>0</v>
      </c>
      <c r="I33" s="1873">
        <f t="shared" si="1"/>
        <v>0</v>
      </c>
      <c r="J33" s="1873">
        <f t="shared" si="2"/>
        <v>0</v>
      </c>
    </row>
    <row r="34" spans="1:11" ht="12" customHeight="1" x14ac:dyDescent="0.25">
      <c r="A34" s="1865"/>
      <c r="B34" s="1865"/>
      <c r="C34" s="1865"/>
      <c r="D34" s="1865"/>
      <c r="E34" s="1865"/>
      <c r="F34" s="1865"/>
      <c r="H34" s="1873">
        <f>SUM(H11:H32)</f>
        <v>5</v>
      </c>
      <c r="I34" s="1873">
        <f>SUM(I11:I32)</f>
        <v>5</v>
      </c>
      <c r="J34" s="1873">
        <f>SUM(J11:J32)</f>
        <v>0</v>
      </c>
      <c r="K34" s="1873">
        <f>SUM(H34:J34)</f>
        <v>10</v>
      </c>
    </row>
    <row r="35" spans="1:11" ht="12" customHeight="1" x14ac:dyDescent="0.2">
      <c r="A35" s="1866" t="s">
        <v>1392</v>
      </c>
      <c r="B35" s="1867"/>
      <c r="C35" s="2409"/>
      <c r="D35" s="2409"/>
      <c r="E35" s="2409"/>
      <c r="F35" s="2410"/>
    </row>
    <row r="36" spans="1:11" ht="12" customHeight="1" x14ac:dyDescent="0.2">
      <c r="A36" s="2392"/>
      <c r="B36" s="2393"/>
      <c r="C36" s="2393"/>
      <c r="D36" s="2393"/>
      <c r="E36" s="2393"/>
      <c r="F36" s="2394"/>
    </row>
    <row r="37" spans="1:11" ht="12" customHeight="1" x14ac:dyDescent="0.2">
      <c r="A37" s="2392"/>
      <c r="B37" s="2393"/>
      <c r="C37" s="2393"/>
      <c r="D37" s="2393"/>
      <c r="E37" s="2393"/>
      <c r="F37" s="2394"/>
    </row>
    <row r="38" spans="1:11" ht="12" customHeight="1" x14ac:dyDescent="0.2">
      <c r="A38" s="2395"/>
      <c r="B38" s="2396"/>
      <c r="C38" s="2396"/>
      <c r="D38" s="2396"/>
      <c r="E38" s="2396"/>
      <c r="F38" s="2397"/>
    </row>
    <row r="39" spans="1:11" ht="4.5" hidden="1" customHeight="1" x14ac:dyDescent="0.2">
      <c r="A39" s="1868"/>
      <c r="B39" s="1868"/>
      <c r="C39" s="1868"/>
      <c r="D39" s="1868"/>
      <c r="E39" s="1868"/>
      <c r="F39" s="1868"/>
    </row>
    <row r="40" spans="1:11" s="1865" customFormat="1" ht="12" customHeight="1" x14ac:dyDescent="0.25">
      <c r="A40" s="1869" t="s">
        <v>1391</v>
      </c>
      <c r="B40" s="1870"/>
      <c r="C40" s="2398"/>
      <c r="D40" s="2398"/>
      <c r="E40" s="2398"/>
      <c r="F40" s="2399"/>
      <c r="H40" s="1874"/>
      <c r="I40" s="1874"/>
      <c r="J40" s="1874"/>
      <c r="K40" s="1874"/>
    </row>
    <row r="41" spans="1:11" s="1865" customFormat="1" ht="12" customHeight="1" x14ac:dyDescent="0.25">
      <c r="A41" s="2400" t="s">
        <v>2083</v>
      </c>
      <c r="B41" s="2401"/>
      <c r="C41" s="2401"/>
      <c r="D41" s="2401"/>
      <c r="E41" s="2401"/>
      <c r="F41" s="2402"/>
      <c r="H41" s="1874"/>
      <c r="I41" s="1874"/>
      <c r="J41" s="1874"/>
      <c r="K41" s="1874"/>
    </row>
    <row r="42" spans="1:11" s="1865" customFormat="1" ht="12" customHeight="1" x14ac:dyDescent="0.25">
      <c r="A42" s="2400"/>
      <c r="B42" s="2401"/>
      <c r="C42" s="2401"/>
      <c r="D42" s="2401"/>
      <c r="E42" s="2401"/>
      <c r="F42" s="2402"/>
      <c r="H42" s="1874"/>
      <c r="I42" s="1874"/>
      <c r="J42" s="1874"/>
      <c r="K42" s="1874"/>
    </row>
    <row r="43" spans="1:11" s="1865" customFormat="1" ht="15" x14ac:dyDescent="0.25">
      <c r="A43" s="2389"/>
      <c r="B43" s="2390"/>
      <c r="C43" s="2390"/>
      <c r="D43" s="2390"/>
      <c r="E43" s="2390"/>
      <c r="F43" s="2391"/>
      <c r="H43" s="1874"/>
      <c r="I43" s="1874"/>
      <c r="J43" s="1874"/>
      <c r="K43" s="1874"/>
    </row>
    <row r="44" spans="1:11" s="1865" customFormat="1" ht="12" hidden="1" customHeight="1" x14ac:dyDescent="0.25">
      <c r="A44" s="2389"/>
      <c r="B44" s="2390"/>
      <c r="C44" s="2390"/>
      <c r="D44" s="2390"/>
      <c r="E44" s="2390"/>
      <c r="F44" s="2391"/>
      <c r="H44" s="1874"/>
      <c r="I44" s="1874"/>
      <c r="J44" s="1874"/>
      <c r="K44" s="1874"/>
    </row>
    <row r="45" spans="1:11" s="1865" customFormat="1" ht="12" customHeight="1" x14ac:dyDescent="0.25">
      <c r="H45" s="1874"/>
      <c r="I45" s="1874"/>
      <c r="J45" s="1874"/>
      <c r="K45" s="1874"/>
    </row>
    <row r="46" spans="1:11" s="1865" customFormat="1" ht="9.75" customHeight="1" x14ac:dyDescent="0.25">
      <c r="H46" s="1874"/>
      <c r="I46" s="1874"/>
      <c r="J46" s="1874"/>
      <c r="K46" s="1874"/>
    </row>
    <row r="47" spans="1:11" s="1865" customFormat="1" ht="13.5" customHeight="1" x14ac:dyDescent="0.25">
      <c r="H47" s="1874"/>
      <c r="I47" s="1874"/>
      <c r="J47" s="1874"/>
      <c r="K47" s="1874"/>
    </row>
    <row r="48" spans="1:11" s="1865" customFormat="1" ht="15" x14ac:dyDescent="0.25">
      <c r="H48" s="1874"/>
      <c r="I48" s="1874"/>
      <c r="J48" s="1874"/>
      <c r="K48" s="1874"/>
    </row>
    <row r="49" spans="1:11" s="1865" customFormat="1" ht="15" hidden="1" x14ac:dyDescent="0.25">
      <c r="A49" s="1865" t="b">
        <v>0</v>
      </c>
      <c r="H49" s="1874"/>
      <c r="I49" s="1874"/>
      <c r="J49" s="1874"/>
      <c r="K49" s="1874"/>
    </row>
    <row r="50" spans="1:11" s="1865" customFormat="1" ht="15" x14ac:dyDescent="0.25">
      <c r="H50" s="1874"/>
      <c r="I50" s="1874"/>
      <c r="J50" s="1874"/>
      <c r="K50" s="1874"/>
    </row>
    <row r="51" spans="1:11" s="1865" customFormat="1" ht="15" x14ac:dyDescent="0.25">
      <c r="H51" s="1874"/>
      <c r="I51" s="1874"/>
      <c r="J51" s="1874"/>
      <c r="K51" s="1874"/>
    </row>
    <row r="52" spans="1:11" s="1865" customFormat="1" ht="15" x14ac:dyDescent="0.25">
      <c r="H52" s="1874"/>
      <c r="I52" s="1874"/>
      <c r="J52" s="1874"/>
      <c r="K52" s="1874"/>
    </row>
    <row r="53" spans="1:11" s="1865" customFormat="1" ht="15" x14ac:dyDescent="0.25">
      <c r="H53" s="1874"/>
      <c r="I53" s="1874"/>
      <c r="J53" s="1874"/>
      <c r="K53" s="1874"/>
    </row>
    <row r="54" spans="1:11" s="1865" customFormat="1" ht="15" x14ac:dyDescent="0.25">
      <c r="H54" s="1874"/>
      <c r="I54" s="1874"/>
      <c r="J54" s="1874"/>
      <c r="K54" s="1874"/>
    </row>
    <row r="55" spans="1:11" s="1865" customFormat="1" ht="15" x14ac:dyDescent="0.25">
      <c r="H55" s="1874"/>
      <c r="I55" s="1874"/>
      <c r="J55" s="1874"/>
      <c r="K55" s="1874"/>
    </row>
    <row r="56" spans="1:11" s="1865" customFormat="1" ht="15" x14ac:dyDescent="0.25">
      <c r="H56" s="1874"/>
      <c r="I56" s="1874"/>
      <c r="J56" s="1874"/>
      <c r="K56" s="1874"/>
    </row>
    <row r="57" spans="1:11" s="1865" customFormat="1" ht="15" x14ac:dyDescent="0.25">
      <c r="H57" s="1874"/>
      <c r="I57" s="1874"/>
      <c r="J57" s="1874"/>
      <c r="K57" s="1874"/>
    </row>
    <row r="58" spans="1:11" s="1865" customFormat="1" ht="15" x14ac:dyDescent="0.25">
      <c r="H58" s="1874"/>
      <c r="I58" s="1874"/>
      <c r="J58" s="1874"/>
      <c r="K58" s="1874"/>
    </row>
    <row r="59" spans="1:11" s="1865" customFormat="1" ht="15" x14ac:dyDescent="0.25">
      <c r="H59" s="1874"/>
      <c r="I59" s="1874"/>
      <c r="J59" s="1874"/>
      <c r="K59" s="1874"/>
    </row>
    <row r="60" spans="1:11" s="1865" customFormat="1" ht="15" x14ac:dyDescent="0.25">
      <c r="H60" s="1874"/>
      <c r="I60" s="1874"/>
      <c r="J60" s="1874"/>
      <c r="K60" s="1874"/>
    </row>
    <row r="61" spans="1:11" s="1865" customFormat="1" ht="15" x14ac:dyDescent="0.25">
      <c r="H61" s="1874"/>
      <c r="I61" s="1874"/>
      <c r="J61" s="1874"/>
      <c r="K61" s="1874"/>
    </row>
    <row r="62" spans="1:11" s="1865" customFormat="1" ht="15" x14ac:dyDescent="0.25">
      <c r="H62" s="1874"/>
      <c r="I62" s="1874"/>
      <c r="J62" s="1874"/>
      <c r="K62" s="1874"/>
    </row>
    <row r="63" spans="1:11" s="1865" customFormat="1" ht="15" x14ac:dyDescent="0.25">
      <c r="H63" s="1874"/>
      <c r="I63" s="1874"/>
      <c r="J63" s="1874"/>
      <c r="K63" s="1874"/>
    </row>
    <row r="64" spans="1:11" s="1865" customFormat="1" ht="15" x14ac:dyDescent="0.25">
      <c r="H64" s="1874"/>
      <c r="I64" s="1874"/>
      <c r="J64" s="1874"/>
      <c r="K64" s="1874"/>
    </row>
    <row r="65" spans="8:11" s="1865" customFormat="1" ht="15" x14ac:dyDescent="0.25">
      <c r="H65" s="1874"/>
      <c r="I65" s="1874"/>
      <c r="J65" s="1874"/>
      <c r="K65" s="1874"/>
    </row>
    <row r="66" spans="8:11" s="1865" customFormat="1" ht="15" x14ac:dyDescent="0.25">
      <c r="H66" s="1874"/>
      <c r="I66" s="1874"/>
      <c r="J66" s="1874"/>
      <c r="K66" s="1874"/>
    </row>
    <row r="67" spans="8:11" s="1865" customFormat="1" ht="15" x14ac:dyDescent="0.25">
      <c r="H67" s="1874"/>
      <c r="I67" s="1874"/>
      <c r="J67" s="1874"/>
      <c r="K67" s="1874"/>
    </row>
    <row r="68" spans="8:11" s="1865" customFormat="1" ht="15" x14ac:dyDescent="0.25">
      <c r="H68" s="1874"/>
      <c r="I68" s="1874"/>
      <c r="J68" s="1874"/>
      <c r="K68" s="1874"/>
    </row>
    <row r="69" spans="8:11" s="1865" customFormat="1" ht="15" x14ac:dyDescent="0.25">
      <c r="H69" s="1874"/>
      <c r="I69" s="1874"/>
      <c r="J69" s="1874"/>
      <c r="K69" s="1874"/>
    </row>
    <row r="70" spans="8:11" s="1865" customFormat="1" ht="15" x14ac:dyDescent="0.25">
      <c r="H70" s="1874"/>
      <c r="I70" s="1874"/>
      <c r="J70" s="1874"/>
      <c r="K70" s="1874"/>
    </row>
    <row r="71" spans="8:11" s="1865" customFormat="1" ht="15" x14ac:dyDescent="0.25">
      <c r="H71" s="1874"/>
      <c r="I71" s="1874"/>
      <c r="J71" s="1874"/>
      <c r="K71" s="1874"/>
    </row>
    <row r="72" spans="8:11" s="1865" customFormat="1" ht="15" x14ac:dyDescent="0.25">
      <c r="H72" s="1874"/>
      <c r="I72" s="1874"/>
      <c r="J72" s="1874"/>
      <c r="K72" s="1874"/>
    </row>
    <row r="73" spans="8:11" s="1865" customFormat="1" ht="15" x14ac:dyDescent="0.25">
      <c r="H73" s="1874"/>
      <c r="I73" s="1874"/>
      <c r="J73" s="1874"/>
      <c r="K73" s="1874"/>
    </row>
    <row r="74" spans="8:11" s="1865" customFormat="1" ht="15" x14ac:dyDescent="0.25">
      <c r="H74" s="1874"/>
      <c r="I74" s="1874"/>
      <c r="J74" s="1874"/>
      <c r="K74" s="1874"/>
    </row>
    <row r="75" spans="8:11" s="1865" customFormat="1" ht="15" x14ac:dyDescent="0.25">
      <c r="H75" s="1874"/>
      <c r="I75" s="1874"/>
      <c r="J75" s="1874"/>
      <c r="K75" s="1874"/>
    </row>
    <row r="76" spans="8:11" s="1865" customFormat="1" ht="15" x14ac:dyDescent="0.25">
      <c r="H76" s="1874"/>
      <c r="I76" s="1874"/>
      <c r="J76" s="1874"/>
      <c r="K76" s="1874"/>
    </row>
    <row r="77" spans="8:11" s="1865" customFormat="1" ht="15" x14ac:dyDescent="0.25">
      <c r="H77" s="1874"/>
      <c r="I77" s="1874"/>
      <c r="J77" s="1874"/>
      <c r="K77" s="1874"/>
    </row>
    <row r="78" spans="8:11" s="1865" customFormat="1" ht="15" x14ac:dyDescent="0.25">
      <c r="H78" s="1874"/>
      <c r="I78" s="1874"/>
      <c r="J78" s="1874"/>
      <c r="K78" s="1874"/>
    </row>
    <row r="79" spans="8:11" s="1865" customFormat="1" ht="15" x14ac:dyDescent="0.25">
      <c r="H79" s="1874"/>
      <c r="I79" s="1874"/>
      <c r="J79" s="1874"/>
      <c r="K79" s="1874"/>
    </row>
    <row r="80" spans="8:11" s="1865" customFormat="1" ht="15" x14ac:dyDescent="0.25">
      <c r="H80" s="1874"/>
      <c r="I80" s="1874"/>
      <c r="J80" s="1874"/>
      <c r="K80" s="1874"/>
    </row>
    <row r="81" spans="8:11" s="1865" customFormat="1" ht="15" x14ac:dyDescent="0.25">
      <c r="H81" s="1874"/>
      <c r="I81" s="1874"/>
      <c r="J81" s="1874"/>
      <c r="K81" s="1874"/>
    </row>
    <row r="82" spans="8:11" s="1865" customFormat="1" ht="15" x14ac:dyDescent="0.25">
      <c r="H82" s="1874"/>
      <c r="I82" s="1874"/>
      <c r="J82" s="1874"/>
      <c r="K82" s="1874"/>
    </row>
    <row r="83" spans="8:11" s="1865" customFormat="1" ht="15" x14ac:dyDescent="0.25">
      <c r="H83" s="1874"/>
      <c r="I83" s="1874"/>
      <c r="J83" s="1874"/>
      <c r="K83" s="1874"/>
    </row>
    <row r="84" spans="8:11" s="1865" customFormat="1" ht="15" x14ac:dyDescent="0.25">
      <c r="H84" s="1874"/>
      <c r="I84" s="1874"/>
      <c r="J84" s="1874"/>
      <c r="K84" s="1874"/>
    </row>
    <row r="85" spans="8:11" s="1865" customFormat="1" ht="15" x14ac:dyDescent="0.25">
      <c r="H85" s="1874"/>
      <c r="I85" s="1874"/>
      <c r="J85" s="1874"/>
      <c r="K85" s="1874"/>
    </row>
    <row r="86" spans="8:11" s="1865" customFormat="1" ht="15" x14ac:dyDescent="0.25">
      <c r="H86" s="1874"/>
      <c r="I86" s="1874"/>
      <c r="J86" s="1874"/>
      <c r="K86" s="1874"/>
    </row>
    <row r="87" spans="8:11" s="1865" customFormat="1" ht="15" x14ac:dyDescent="0.25">
      <c r="H87" s="1874"/>
      <c r="I87" s="1874"/>
      <c r="J87" s="1874"/>
      <c r="K87" s="1874"/>
    </row>
    <row r="88" spans="8:11" s="1865" customFormat="1" ht="15" x14ac:dyDescent="0.25">
      <c r="H88" s="1874"/>
      <c r="I88" s="1874"/>
      <c r="J88" s="1874"/>
      <c r="K88" s="1874"/>
    </row>
    <row r="89" spans="8:11" s="1865" customFormat="1" ht="15" x14ac:dyDescent="0.25">
      <c r="H89" s="1874"/>
      <c r="I89" s="1874"/>
      <c r="J89" s="1874"/>
      <c r="K89" s="1874"/>
    </row>
    <row r="90" spans="8:11" s="1865" customFormat="1" ht="15" x14ac:dyDescent="0.25">
      <c r="H90" s="1874"/>
      <c r="I90" s="1874"/>
      <c r="J90" s="1874"/>
      <c r="K90" s="1874"/>
    </row>
    <row r="91" spans="8:11" s="1865" customFormat="1" ht="15" x14ac:dyDescent="0.25">
      <c r="H91" s="1874"/>
      <c r="I91" s="1874"/>
      <c r="J91" s="1874"/>
      <c r="K91" s="1874"/>
    </row>
    <row r="92" spans="8:11" s="1865" customFormat="1" ht="15" x14ac:dyDescent="0.25">
      <c r="H92" s="1874"/>
      <c r="I92" s="1874"/>
      <c r="J92" s="1874"/>
      <c r="K92" s="1874"/>
    </row>
    <row r="93" spans="8:11" s="1865" customFormat="1" ht="15" x14ac:dyDescent="0.25">
      <c r="H93" s="1874"/>
      <c r="I93" s="1874"/>
      <c r="J93" s="1874"/>
      <c r="K93" s="1874"/>
    </row>
    <row r="94" spans="8:11" s="1865" customFormat="1" ht="15" x14ac:dyDescent="0.25">
      <c r="H94" s="1874"/>
      <c r="I94" s="1874"/>
      <c r="J94" s="1874"/>
      <c r="K94" s="1874"/>
    </row>
    <row r="95" spans="8:11" s="1865" customFormat="1" ht="15" x14ac:dyDescent="0.25">
      <c r="H95" s="1874"/>
      <c r="I95" s="1874"/>
      <c r="J95" s="1874"/>
      <c r="K95" s="1874"/>
    </row>
    <row r="96" spans="8:11" s="1865" customFormat="1" ht="15" x14ac:dyDescent="0.25">
      <c r="H96" s="1874"/>
      <c r="I96" s="1874"/>
      <c r="J96" s="1874"/>
      <c r="K96" s="1874"/>
    </row>
    <row r="97" spans="8:11" s="1865" customFormat="1" ht="15" x14ac:dyDescent="0.25">
      <c r="H97" s="1874"/>
      <c r="I97" s="1874"/>
      <c r="J97" s="1874"/>
      <c r="K97" s="1874"/>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89" t="s">
        <v>672</v>
      </c>
      <c r="B6" s="1639"/>
      <c r="C6" s="1639"/>
      <c r="D6" s="1639"/>
      <c r="E6" s="1640"/>
      <c r="F6" s="1012"/>
      <c r="G6" s="1006"/>
      <c r="H6" s="1013" t="s">
        <v>1028</v>
      </c>
      <c r="I6" s="2416" t="str">
        <f>COVER!A17</f>
        <v>Henry Stark County Spec Ed Dist</v>
      </c>
      <c r="J6" s="2417"/>
      <c r="Q6" s="1661"/>
    </row>
    <row r="7" spans="1:17" x14ac:dyDescent="0.2">
      <c r="A7" s="2418" t="s">
        <v>869</v>
      </c>
      <c r="B7" s="2419"/>
      <c r="C7" s="2419"/>
      <c r="D7" s="2419"/>
      <c r="E7" s="2420"/>
      <c r="F7" s="1014"/>
      <c r="G7" s="1006"/>
      <c r="H7" s="1013" t="s">
        <v>372</v>
      </c>
      <c r="I7" s="2421">
        <f>COVER!A13</f>
        <v>28037801060</v>
      </c>
      <c r="J7" s="2421"/>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0" t="s">
        <v>1976</v>
      </c>
      <c r="F9" s="1020"/>
      <c r="G9" s="1020"/>
      <c r="H9" s="1891" t="s">
        <v>1977</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422" t="s">
        <v>481</v>
      </c>
      <c r="B11" s="2423"/>
      <c r="C11" s="2424"/>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0</v>
      </c>
      <c r="F12" s="1036"/>
      <c r="G12" s="1808">
        <f t="shared" ref="G12:G18" si="0">SUM(E12:F12)</f>
        <v>0</v>
      </c>
      <c r="H12" s="1037"/>
      <c r="I12" s="1036"/>
      <c r="J12" s="1808">
        <f t="shared" ref="J12:J18" si="1">SUM(H12:I12)</f>
        <v>0</v>
      </c>
    </row>
    <row r="13" spans="1:17" ht="15" customHeight="1" x14ac:dyDescent="0.2">
      <c r="A13" s="1032">
        <v>2</v>
      </c>
      <c r="B13" s="1033" t="s">
        <v>42</v>
      </c>
      <c r="C13" s="1034"/>
      <c r="D13" s="1035">
        <v>2330</v>
      </c>
      <c r="E13" s="1808">
        <f>'Expenditures 15-22'!K51</f>
        <v>302485</v>
      </c>
      <c r="F13" s="1036"/>
      <c r="G13" s="1808">
        <f t="shared" si="0"/>
        <v>302485</v>
      </c>
      <c r="H13" s="1037"/>
      <c r="I13" s="1036"/>
      <c r="J13" s="1808">
        <f t="shared" si="1"/>
        <v>0</v>
      </c>
    </row>
    <row r="14" spans="1:17" ht="15" customHeight="1" x14ac:dyDescent="0.2">
      <c r="A14" s="1032">
        <v>3</v>
      </c>
      <c r="B14" s="1033" t="s">
        <v>43</v>
      </c>
      <c r="C14" s="1034"/>
      <c r="D14" s="1038">
        <v>2490</v>
      </c>
      <c r="E14" s="1808">
        <f>'Expenditures 15-22'!K56</f>
        <v>2300</v>
      </c>
      <c r="F14" s="1036"/>
      <c r="G14" s="1808">
        <f t="shared" si="0"/>
        <v>2300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14042</v>
      </c>
      <c r="F17" s="1036"/>
      <c r="G17" s="1808">
        <f t="shared" si="0"/>
        <v>14042</v>
      </c>
      <c r="H17" s="1037"/>
      <c r="I17" s="1036"/>
      <c r="J17" s="1808">
        <f t="shared" si="1"/>
        <v>0</v>
      </c>
    </row>
    <row r="18" spans="1:10" ht="22.5" customHeight="1" x14ac:dyDescent="0.2">
      <c r="A18" s="1039">
        <v>7</v>
      </c>
      <c r="B18" s="2425" t="s">
        <v>7</v>
      </c>
      <c r="C18" s="2426"/>
      <c r="D18" s="2427"/>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318827</v>
      </c>
      <c r="F19" s="1810">
        <f t="shared" si="2"/>
        <v>0</v>
      </c>
      <c r="G19" s="1810">
        <f t="shared" si="2"/>
        <v>318827</v>
      </c>
      <c r="H19" s="1810">
        <f t="shared" si="2"/>
        <v>0</v>
      </c>
      <c r="I19" s="1810">
        <f t="shared" si="2"/>
        <v>0</v>
      </c>
      <c r="J19" s="1810">
        <f t="shared" si="2"/>
        <v>0</v>
      </c>
    </row>
    <row r="20" spans="1:10" ht="13.5" thickTop="1" x14ac:dyDescent="0.2">
      <c r="A20" s="1032">
        <v>9</v>
      </c>
      <c r="B20" s="2428" t="s">
        <v>1978</v>
      </c>
      <c r="C20" s="2428"/>
      <c r="D20" s="2429"/>
      <c r="E20" s="1043"/>
      <c r="F20" s="1043"/>
      <c r="G20" s="1043"/>
      <c r="H20" s="1043"/>
      <c r="I20" s="1043"/>
      <c r="J20" s="1811" t="str">
        <f>IF(AND(G19&gt;0,J19&gt;0),(((J19-G19)/G19)),"Enter Budget Data")</f>
        <v>Enter Budget Data</v>
      </c>
    </row>
    <row r="21" spans="1:10" ht="9" customHeight="1" x14ac:dyDescent="0.2">
      <c r="B21" s="1044"/>
    </row>
    <row r="22" spans="1:10" x14ac:dyDescent="0.2">
      <c r="A22" s="1045" t="s">
        <v>133</v>
      </c>
      <c r="B22" s="1044"/>
    </row>
    <row r="23" spans="1:10" x14ac:dyDescent="0.2">
      <c r="A23" s="1008" t="s">
        <v>1979</v>
      </c>
      <c r="B23" s="1044"/>
    </row>
    <row r="24" spans="1:10" x14ac:dyDescent="0.2">
      <c r="A24" s="1008" t="s">
        <v>1992</v>
      </c>
      <c r="B24" s="1044"/>
    </row>
    <row r="25" spans="1:10" x14ac:dyDescent="0.2">
      <c r="A25" s="1046"/>
      <c r="B25" s="1044"/>
    </row>
    <row r="26" spans="1:10" ht="20.100000000000001" customHeight="1" x14ac:dyDescent="0.2">
      <c r="B26" s="1044"/>
      <c r="C26" s="2434"/>
      <c r="D26" s="2434"/>
      <c r="E26" s="1047"/>
      <c r="F26" s="2433"/>
      <c r="G26" s="2433"/>
    </row>
    <row r="27" spans="1:10" x14ac:dyDescent="0.2">
      <c r="B27" s="1044"/>
      <c r="C27" s="1048" t="s">
        <v>1033</v>
      </c>
      <c r="D27" s="1049"/>
      <c r="E27" s="1050"/>
      <c r="F27" s="2430" t="s">
        <v>1509</v>
      </c>
      <c r="G27" s="2430"/>
    </row>
    <row r="28" spans="1:10" ht="28.5" customHeight="1" x14ac:dyDescent="0.2">
      <c r="B28" s="1044"/>
      <c r="C28" s="2432"/>
      <c r="D28" s="2432"/>
      <c r="E28" s="1051"/>
      <c r="F28" s="2432"/>
      <c r="G28" s="2432"/>
    </row>
    <row r="29" spans="1:10" x14ac:dyDescent="0.2">
      <c r="B29" s="1044"/>
      <c r="C29" s="1052" t="s">
        <v>1561</v>
      </c>
      <c r="E29" s="1053"/>
      <c r="F29" s="2431" t="s">
        <v>1510</v>
      </c>
      <c r="G29" s="2431"/>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413" t="s">
        <v>132</v>
      </c>
      <c r="D33" s="2414"/>
      <c r="E33" s="2414"/>
      <c r="F33" s="2414"/>
      <c r="G33" s="2414"/>
      <c r="H33" s="2414"/>
      <c r="I33" s="2414"/>
    </row>
    <row r="34" spans="1:10" ht="10.35" customHeight="1" x14ac:dyDescent="0.2">
      <c r="C34" s="2414"/>
      <c r="D34" s="2414"/>
      <c r="E34" s="2414"/>
      <c r="F34" s="2414"/>
      <c r="G34" s="2414"/>
      <c r="H34" s="2414"/>
      <c r="I34" s="2414"/>
    </row>
    <row r="35" spans="1:10" ht="7.5" customHeight="1" x14ac:dyDescent="0.2">
      <c r="C35" s="1059"/>
    </row>
    <row r="36" spans="1:10" ht="13.5" customHeight="1" x14ac:dyDescent="0.2">
      <c r="B36" s="1058"/>
      <c r="C36" s="2415" t="s">
        <v>1980</v>
      </c>
      <c r="D36" s="2414"/>
      <c r="E36" s="2414"/>
      <c r="F36" s="2414"/>
      <c r="G36" s="2414"/>
      <c r="H36" s="2414"/>
      <c r="I36" s="2414"/>
      <c r="J36" s="1060"/>
    </row>
    <row r="37" spans="1:10" ht="22.5" customHeight="1" x14ac:dyDescent="0.2">
      <c r="C37" s="2414"/>
      <c r="D37" s="2414"/>
      <c r="E37" s="2414"/>
      <c r="F37" s="2414"/>
      <c r="G37" s="2414"/>
      <c r="H37" s="2414"/>
      <c r="I37" s="2414"/>
      <c r="J37" s="1060"/>
    </row>
    <row r="38" spans="1:10" ht="7.5" customHeight="1" x14ac:dyDescent="0.2">
      <c r="C38" s="1059"/>
      <c r="D38" s="1061"/>
      <c r="E38" s="1062"/>
      <c r="F38" s="1063"/>
      <c r="G38" s="1062"/>
    </row>
    <row r="39" spans="1:10" ht="13.5" customHeight="1" x14ac:dyDescent="0.2">
      <c r="B39" s="1058"/>
      <c r="C39" s="2411" t="s">
        <v>882</v>
      </c>
      <c r="D39" s="2412"/>
      <c r="E39" s="2412"/>
      <c r="F39" s="2412"/>
      <c r="G39" s="2412"/>
      <c r="H39" s="2412"/>
      <c r="I39" s="2412"/>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2098</v>
      </c>
    </row>
    <row r="6" spans="1:2" x14ac:dyDescent="0.2">
      <c r="A6" s="1065">
        <v>2</v>
      </c>
      <c r="B6" s="329" t="s">
        <v>2099</v>
      </c>
    </row>
    <row r="7" spans="1:2" x14ac:dyDescent="0.2">
      <c r="A7" s="1065"/>
    </row>
    <row r="8" spans="1:2" x14ac:dyDescent="0.2">
      <c r="A8" s="1065"/>
    </row>
    <row r="9" spans="1:2" x14ac:dyDescent="0.2">
      <c r="A9" s="1066"/>
    </row>
    <row r="10" spans="1:2" x14ac:dyDescent="0.2">
      <c r="A10" s="1066"/>
    </row>
    <row r="11" spans="1:2" x14ac:dyDescent="0.2">
      <c r="A11" s="1066"/>
    </row>
    <row r="12" spans="1:2" x14ac:dyDescent="0.2">
      <c r="A12" s="1066"/>
    </row>
    <row r="13" spans="1:2" x14ac:dyDescent="0.2">
      <c r="A13" s="1066"/>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Henry Stark County Spec Ed Dist</v>
      </c>
    </row>
    <row r="65" spans="2:2" x14ac:dyDescent="0.2">
      <c r="B65" s="1067">
        <f>COVER!A13</f>
        <v>28037801060</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435" t="s">
        <v>1685</v>
      </c>
      <c r="B18" s="243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1095375</xdr:colOff>
                <xdr:row>1</xdr:row>
                <xdr:rowOff>0</xdr:rowOff>
              </from>
              <to>
                <xdr:col>1</xdr:col>
                <xdr:colOff>2009775</xdr:colOff>
                <xdr:row>5</xdr:row>
                <xdr:rowOff>38100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36" t="s">
        <v>1690</v>
      </c>
      <c r="B1" s="2437"/>
      <c r="C1" s="2437"/>
      <c r="D1" s="2437"/>
      <c r="E1" s="2437"/>
      <c r="F1" s="2438"/>
    </row>
    <row r="2" spans="1:8" ht="45" customHeight="1" x14ac:dyDescent="0.2">
      <c r="A2" s="2446" t="s">
        <v>1984</v>
      </c>
      <c r="B2" s="2447"/>
      <c r="C2" s="2447"/>
      <c r="D2" s="2447"/>
      <c r="E2" s="2447"/>
      <c r="F2" s="2448"/>
      <c r="G2" s="1071"/>
      <c r="H2" s="1071"/>
    </row>
    <row r="3" spans="1:8" ht="57" customHeight="1" x14ac:dyDescent="0.2">
      <c r="A3" s="2449" t="s">
        <v>1686</v>
      </c>
      <c r="B3" s="2450"/>
      <c r="C3" s="2450"/>
      <c r="D3" s="2450"/>
      <c r="E3" s="2450"/>
      <c r="F3" s="2451"/>
      <c r="G3" s="1071"/>
      <c r="H3" s="1071"/>
    </row>
    <row r="4" spans="1:8" ht="14.25" customHeight="1" x14ac:dyDescent="0.2">
      <c r="A4" s="2455" t="s">
        <v>1985</v>
      </c>
      <c r="B4" s="2456"/>
      <c r="C4" s="2456"/>
      <c r="D4" s="2456"/>
      <c r="E4" s="2456"/>
      <c r="F4" s="2457"/>
      <c r="G4" s="1071"/>
      <c r="H4" s="1071"/>
    </row>
    <row r="5" spans="1:8" ht="14.25" customHeight="1" x14ac:dyDescent="0.2">
      <c r="A5" s="2458" t="s">
        <v>1981</v>
      </c>
      <c r="B5" s="2459"/>
      <c r="C5" s="2459"/>
      <c r="D5" s="2459"/>
      <c r="E5" s="2459"/>
      <c r="F5" s="2460"/>
      <c r="G5" s="1071"/>
      <c r="H5" s="1071"/>
    </row>
    <row r="6" spans="1:8" s="1072" customFormat="1" ht="41.25" customHeight="1" x14ac:dyDescent="0.2">
      <c r="A6" s="2452" t="s">
        <v>1691</v>
      </c>
      <c r="B6" s="2453"/>
      <c r="C6" s="2453"/>
      <c r="D6" s="2453"/>
      <c r="E6" s="2453"/>
      <c r="F6" s="2454"/>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7356709</v>
      </c>
      <c r="C8" s="1812">
        <f>'Acct Summary 7-8'!D8</f>
        <v>0</v>
      </c>
      <c r="D8" s="1812">
        <f>'Acct Summary 7-8'!F8</f>
        <v>0</v>
      </c>
      <c r="E8" s="1812">
        <f>'Acct Summary 7-8'!I8</f>
        <v>0</v>
      </c>
      <c r="F8" s="1812">
        <f>SUM(B8:E8)</f>
        <v>7356709</v>
      </c>
    </row>
    <row r="9" spans="1:8" s="1076" customFormat="1" ht="14.25" customHeight="1" thickBot="1" x14ac:dyDescent="0.25">
      <c r="A9" s="1075" t="s">
        <v>1369</v>
      </c>
      <c r="B9" s="1813">
        <f>'Acct Summary 7-8'!C17</f>
        <v>8301769</v>
      </c>
      <c r="C9" s="1813">
        <f>'Acct Summary 7-8'!D17</f>
        <v>0</v>
      </c>
      <c r="D9" s="1813">
        <f>'Acct Summary 7-8'!F17</f>
        <v>0</v>
      </c>
      <c r="E9" s="1812"/>
      <c r="F9" s="1812">
        <f>SUM(B9:E9)</f>
        <v>8301769</v>
      </c>
    </row>
    <row r="10" spans="1:8" s="1076" customFormat="1" ht="14.25" thickTop="1" thickBot="1" x14ac:dyDescent="0.25">
      <c r="A10" s="1077" t="s">
        <v>1370</v>
      </c>
      <c r="B10" s="1814">
        <f>(B8-B9)</f>
        <v>-945060</v>
      </c>
      <c r="C10" s="1814">
        <f>(C8-C9)</f>
        <v>0</v>
      </c>
      <c r="D10" s="1814">
        <f>(D8-D9)</f>
        <v>0</v>
      </c>
      <c r="E10" s="1813">
        <f>(E8-E9)</f>
        <v>0</v>
      </c>
      <c r="F10" s="1815">
        <f>SUM(F8-F9)</f>
        <v>-945060</v>
      </c>
    </row>
    <row r="11" spans="1:8" s="1076" customFormat="1" ht="14.25" thickTop="1" thickBot="1" x14ac:dyDescent="0.25">
      <c r="A11" s="1078" t="s">
        <v>1982</v>
      </c>
      <c r="B11" s="1816">
        <f>'Acct Summary 7-8'!C81</f>
        <v>56036</v>
      </c>
      <c r="C11" s="1816">
        <f>'Acct Summary 7-8'!D81</f>
        <v>0</v>
      </c>
      <c r="D11" s="1816">
        <f>'Acct Summary 7-8'!F81</f>
        <v>0</v>
      </c>
      <c r="E11" s="1816">
        <f>'Acct Summary 7-8'!I81</f>
        <v>0</v>
      </c>
      <c r="F11" s="1817">
        <f>SUM(B11:E11)</f>
        <v>56036</v>
      </c>
    </row>
    <row r="12" spans="1:8" ht="16.5" customHeight="1" thickTop="1" x14ac:dyDescent="0.2">
      <c r="A12" s="1079"/>
      <c r="B12" s="1080"/>
      <c r="C12" s="2440"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441"/>
      <c r="E12" s="2441"/>
      <c r="F12" s="2442"/>
    </row>
    <row r="13" spans="1:8" ht="19.5" customHeight="1" x14ac:dyDescent="0.2">
      <c r="A13" s="1081"/>
      <c r="B13" s="1082"/>
      <c r="C13" s="2440"/>
      <c r="D13" s="2441"/>
      <c r="E13" s="2441"/>
      <c r="F13" s="2442"/>
      <c r="H13" s="1071"/>
    </row>
    <row r="14" spans="1:8" ht="19.5" customHeight="1" x14ac:dyDescent="0.2">
      <c r="A14" s="1081"/>
      <c r="B14" s="1082"/>
      <c r="C14" s="2440"/>
      <c r="D14" s="2441"/>
      <c r="E14" s="2441"/>
      <c r="F14" s="2442"/>
      <c r="H14" s="1071"/>
    </row>
    <row r="15" spans="1:8" ht="17.25" customHeight="1" x14ac:dyDescent="0.2">
      <c r="A15" s="1081"/>
      <c r="B15" s="1082"/>
      <c r="C15" s="2443"/>
      <c r="D15" s="2444"/>
      <c r="E15" s="2444"/>
      <c r="F15" s="2445"/>
      <c r="H15" s="1071"/>
    </row>
    <row r="16" spans="1:8" s="310" customFormat="1" ht="51.75" hidden="1" customHeight="1" x14ac:dyDescent="0.2">
      <c r="A16" s="2439" t="s">
        <v>1687</v>
      </c>
      <c r="B16" s="2439"/>
      <c r="C16" s="2439"/>
      <c r="D16" s="2439"/>
      <c r="E16" s="2439"/>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2"/>
      <c r="B2" s="1893"/>
      <c r="C2" s="1894"/>
      <c r="D2" s="1895"/>
    </row>
    <row r="3" spans="1:4" ht="36" customHeight="1" x14ac:dyDescent="0.2">
      <c r="A3" s="2461" t="s">
        <v>665</v>
      </c>
      <c r="B3" s="2462"/>
      <c r="C3" s="2462"/>
      <c r="D3" s="2463"/>
    </row>
    <row r="4" spans="1:4" x14ac:dyDescent="0.2">
      <c r="A4" s="1149" t="s">
        <v>1692</v>
      </c>
      <c r="B4" s="1150"/>
      <c r="C4" s="1151"/>
      <c r="D4" s="1152"/>
    </row>
    <row r="5" spans="1:4" ht="21" customHeight="1" x14ac:dyDescent="0.2">
      <c r="A5" s="1145"/>
      <c r="B5" s="1146">
        <v>1</v>
      </c>
      <c r="C5" s="1147" t="s">
        <v>1832</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472" t="s">
        <v>1504</v>
      </c>
      <c r="D7" s="2473"/>
    </row>
    <row r="8" spans="1:4" s="665" customFormat="1" ht="12.75" x14ac:dyDescent="0.2">
      <c r="A8" s="1135"/>
      <c r="B8" s="1090"/>
      <c r="C8" s="1093" t="s">
        <v>1503</v>
      </c>
      <c r="D8" s="1094"/>
    </row>
    <row r="9" spans="1:4" s="665" customFormat="1" ht="14.25" customHeight="1" x14ac:dyDescent="0.2">
      <c r="A9" s="1135"/>
      <c r="B9" s="1090">
        <f>B7+1</f>
        <v>4</v>
      </c>
      <c r="C9" s="1091" t="s">
        <v>1910</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464" t="s">
        <v>1008</v>
      </c>
      <c r="B15" s="2465"/>
      <c r="C15" s="2465"/>
      <c r="D15" s="2466"/>
    </row>
    <row r="16" spans="1:4" s="665" customFormat="1" ht="24" customHeight="1" x14ac:dyDescent="0.2">
      <c r="A16" s="2467" t="s">
        <v>663</v>
      </c>
      <c r="B16" s="2468"/>
      <c r="C16" s="2468"/>
      <c r="D16" s="2469"/>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476" t="s">
        <v>314</v>
      </c>
      <c r="D21" s="2477"/>
    </row>
    <row r="22" spans="1:10" ht="12.75" x14ac:dyDescent="0.2">
      <c r="A22" s="1136"/>
      <c r="B22" s="1137">
        <v>2</v>
      </c>
      <c r="C22" s="2474" t="s">
        <v>1524</v>
      </c>
      <c r="D22" s="2475"/>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NO FINDINGS WERE ISSUED</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478" t="s">
        <v>536</v>
      </c>
      <c r="D43" s="2479"/>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470" t="s">
        <v>784</v>
      </c>
      <c r="D56" s="2471"/>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1911</v>
      </c>
      <c r="D66" s="1122"/>
    </row>
    <row r="67" spans="1:4" x14ac:dyDescent="0.2">
      <c r="A67" s="1116"/>
      <c r="B67" s="1137"/>
      <c r="C67" s="1144" t="s">
        <v>1021</v>
      </c>
      <c r="D67" s="1122"/>
    </row>
    <row r="68" spans="1:4" x14ac:dyDescent="0.2">
      <c r="A68" s="1097"/>
      <c r="B68" s="1107"/>
      <c r="C68" s="1099" t="s">
        <v>1912</v>
      </c>
      <c r="D68" s="1121" t="str">
        <f>IF('Short-Term Long-Term Debt 24'!F49=SUM(,'Acct Summary 7-8'!C33:K33),"OK","ERROR!")</f>
        <v>OK</v>
      </c>
    </row>
    <row r="69" spans="1:4" x14ac:dyDescent="0.2">
      <c r="A69" s="1097"/>
      <c r="B69" s="1107"/>
      <c r="C69" s="1099" t="s">
        <v>1913</v>
      </c>
      <c r="D69" s="1121" t="str">
        <f>IF('Expenditures 15-22'!H170&lt;&gt;'Short-Term Long-Term Debt 24'!H49,"ERROR!","OK")</f>
        <v>OK</v>
      </c>
    </row>
    <row r="70" spans="1:4" x14ac:dyDescent="0.2">
      <c r="A70" s="1095"/>
      <c r="B70" s="1117">
        <f>B66+1</f>
        <v>9</v>
      </c>
      <c r="C70" s="2470" t="s">
        <v>1696</v>
      </c>
      <c r="D70" s="2471"/>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1914</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1915</v>
      </c>
      <c r="D78" s="1121" t="str">
        <f>IF(ISNUMBER('Acct Summary 7-8'!C9),"OK","ENTRY IS REQUIRED!")</f>
        <v>OK</v>
      </c>
    </row>
    <row r="79" spans="1:4" x14ac:dyDescent="0.2">
      <c r="A79" s="1116"/>
      <c r="B79" s="1117">
        <f>B74+1+1</f>
        <v>12</v>
      </c>
      <c r="C79" s="1127" t="s">
        <v>1900</v>
      </c>
      <c r="D79" s="1128" t="str">
        <f>IF(OR(COVER!$B$6="X",'PCTC-OEPP 27-28'!F78&gt;0),"OK","PLEASE ENTER 9 MO ADA.")</f>
        <v>OK</v>
      </c>
    </row>
    <row r="80" spans="1:4" x14ac:dyDescent="0.2">
      <c r="A80" s="1095"/>
      <c r="B80" s="1117">
        <v>13</v>
      </c>
      <c r="C80" s="1127" t="s">
        <v>1916</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28037801060</v>
      </c>
    </row>
    <row r="3" spans="1:2" x14ac:dyDescent="0.2">
      <c r="A3" t="s">
        <v>956</v>
      </c>
      <c r="B3" s="138" t="str">
        <f>COVER!A15</f>
        <v>Henry</v>
      </c>
    </row>
    <row r="4" spans="1:2" x14ac:dyDescent="0.2">
      <c r="A4" t="s">
        <v>1007</v>
      </c>
      <c r="B4" s="138" t="str">
        <f>COVER!A17</f>
        <v>Henry Stark County Spec Ed Dist</v>
      </c>
    </row>
    <row r="5" spans="1:2" x14ac:dyDescent="0.2">
      <c r="A5" t="s">
        <v>704</v>
      </c>
      <c r="B5" s="138" t="str">
        <f>COVER!A38</f>
        <v>T. Gregory Wertheim</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Thomas R. Peffer, CPA</v>
      </c>
    </row>
    <row r="18" spans="1:2" x14ac:dyDescent="0.2">
      <c r="A18" t="s">
        <v>1150</v>
      </c>
      <c r="B18" s="138" t="str">
        <f>COVER!T17</f>
        <v>4200 N Knoxville Ave</v>
      </c>
    </row>
    <row r="19" spans="1:2" x14ac:dyDescent="0.2">
      <c r="A19" t="s">
        <v>886</v>
      </c>
      <c r="B19" s="138" t="str">
        <f>COVER!T25</f>
        <v>tpeffer@gorenzcpa.com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56036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39473</v>
      </c>
      <c r="D92" s="2" t="str">
        <f t="shared" si="0"/>
        <v>Error?</v>
      </c>
    </row>
    <row r="93" spans="1:4" x14ac:dyDescent="0.2">
      <c r="A93" s="5">
        <v>32</v>
      </c>
      <c r="B93" s="138">
        <f>'Assets-Liab 5-6'!C41</f>
        <v>56036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515570</v>
      </c>
      <c r="D274" s="2" t="str">
        <f t="shared" si="3"/>
        <v>Error?</v>
      </c>
    </row>
    <row r="275" spans="1:4" x14ac:dyDescent="0.2">
      <c r="A275" s="5">
        <v>214</v>
      </c>
      <c r="B275" s="138">
        <f>'Assets-Liab 5-6'!M18</f>
        <v>0</v>
      </c>
      <c r="D275" s="2" t="str">
        <f t="shared" si="3"/>
        <v>Error?</v>
      </c>
    </row>
    <row r="276" spans="1:4" x14ac:dyDescent="0.2">
      <c r="A276" s="5">
        <v>215</v>
      </c>
      <c r="B276" s="138">
        <f>'Assets-Liab 5-6'!M19</f>
        <v>60666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576236</v>
      </c>
      <c r="C279" s="2" t="s">
        <v>573</v>
      </c>
      <c r="D279" s="2" t="str">
        <f t="shared" si="3"/>
        <v>Error?</v>
      </c>
    </row>
    <row r="280" spans="1:4" x14ac:dyDescent="0.2">
      <c r="A280" s="5">
        <v>219</v>
      </c>
      <c r="B280" s="138">
        <f>'Assets-Liab 5-6'!M40</f>
        <v>576236</v>
      </c>
      <c r="D280" s="2" t="str">
        <f t="shared" si="3"/>
        <v>Error?</v>
      </c>
    </row>
    <row r="281" spans="1:4" x14ac:dyDescent="0.2">
      <c r="A281" s="5">
        <v>220</v>
      </c>
      <c r="B281" s="138">
        <f>'Assets-Liab 5-6'!M41</f>
        <v>576236</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3223974</v>
      </c>
      <c r="C720" s="2" t="s">
        <v>573</v>
      </c>
      <c r="D720" s="2" t="str">
        <f t="shared" si="10"/>
        <v>Error?</v>
      </c>
    </row>
    <row r="721" spans="1:4" x14ac:dyDescent="0.2">
      <c r="A721" s="5">
        <v>660</v>
      </c>
      <c r="B721" s="138">
        <f>'Expenditures 15-22'!C36</f>
        <v>636472</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549786</v>
      </c>
      <c r="D724" s="2" t="str">
        <f t="shared" si="10"/>
        <v>Error?</v>
      </c>
    </row>
    <row r="725" spans="1:4" x14ac:dyDescent="0.2">
      <c r="A725" s="5">
        <v>664</v>
      </c>
      <c r="B725" s="138">
        <f>'Expenditures 15-22'!C40</f>
        <v>594286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1780544</v>
      </c>
      <c r="C727" s="2" t="s">
        <v>573</v>
      </c>
      <c r="D727" s="2" t="str">
        <f t="shared" si="10"/>
        <v>Error?</v>
      </c>
    </row>
    <row r="728" spans="1:4" x14ac:dyDescent="0.2">
      <c r="A728" s="5">
        <v>667</v>
      </c>
      <c r="B728" s="138">
        <f>'Expenditures 15-22'!C44</f>
        <v>538499</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538499</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172376</v>
      </c>
      <c r="C734" s="2" t="s">
        <v>573</v>
      </c>
      <c r="D734" s="2" t="str">
        <f t="shared" si="10"/>
        <v>Error?</v>
      </c>
    </row>
    <row r="735" spans="1:4" x14ac:dyDescent="0.2">
      <c r="A735" s="5">
        <v>674</v>
      </c>
      <c r="B735" s="138">
        <f>'Expenditures 15-22'!C55</f>
        <v>76213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76213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36510</v>
      </c>
      <c r="D739" s="2" t="str">
        <f t="shared" si="10"/>
        <v>Error?</v>
      </c>
    </row>
    <row r="740" spans="1:4" x14ac:dyDescent="0.2">
      <c r="A740" s="5">
        <v>679</v>
      </c>
      <c r="B740" s="138">
        <f>'Expenditures 15-22'!C61</f>
        <v>15870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52380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2620012</v>
      </c>
      <c r="C755" s="2" t="s">
        <v>573</v>
      </c>
      <c r="D755" s="2" t="str">
        <f t="shared" si="10"/>
        <v>Error?</v>
      </c>
    </row>
    <row r="756" spans="1:4" x14ac:dyDescent="0.2">
      <c r="A756" s="5">
        <v>695</v>
      </c>
      <c r="B756" s="138">
        <f>'Expenditures 15-22'!C75</f>
        <v>34608</v>
      </c>
      <c r="D756" s="2" t="str">
        <f t="shared" si="10"/>
        <v>Error?</v>
      </c>
    </row>
    <row r="757" spans="1:4" x14ac:dyDescent="0.2">
      <c r="A757" s="5">
        <v>696</v>
      </c>
      <c r="B757" s="138">
        <f>'Expenditures 15-22'!C114</f>
        <v>5878594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813187</v>
      </c>
      <c r="C778" s="2" t="s">
        <v>573</v>
      </c>
      <c r="D778" s="2" t="str">
        <f t="shared" si="11"/>
        <v>Error?</v>
      </c>
    </row>
    <row r="779" spans="1:4" x14ac:dyDescent="0.2">
      <c r="A779" s="5">
        <v>718</v>
      </c>
      <c r="B779" s="138">
        <f>'Expenditures 15-22'!D36</f>
        <v>137193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97486</v>
      </c>
      <c r="D782" s="2" t="str">
        <f t="shared" si="11"/>
        <v>Error?</v>
      </c>
    </row>
    <row r="783" spans="1:4" x14ac:dyDescent="0.2">
      <c r="A783" s="5">
        <v>722</v>
      </c>
      <c r="B783" s="138">
        <f>'Expenditures 15-22'!D40</f>
        <v>122378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357057</v>
      </c>
      <c r="C785" s="2" t="s">
        <v>573</v>
      </c>
      <c r="D785" s="2" t="str">
        <f t="shared" si="11"/>
        <v>Error?</v>
      </c>
    </row>
    <row r="786" spans="1:4" x14ac:dyDescent="0.2">
      <c r="A786" s="5">
        <v>725</v>
      </c>
      <c r="B786" s="138">
        <f>'Expenditures 15-22'!D44</f>
        <v>266836</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266836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35826</v>
      </c>
      <c r="C792" s="2" t="s">
        <v>573</v>
      </c>
      <c r="D792" s="2" t="str">
        <f t="shared" si="11"/>
        <v>Error?</v>
      </c>
    </row>
    <row r="793" spans="1:4" x14ac:dyDescent="0.2">
      <c r="A793" s="5">
        <v>732</v>
      </c>
      <c r="B793" s="138">
        <f>'Expenditures 15-22'!D55</f>
        <v>28502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28502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10187</v>
      </c>
      <c r="D797" s="2" t="str">
        <f t="shared" si="11"/>
        <v>Error?</v>
      </c>
    </row>
    <row r="798" spans="1:4" x14ac:dyDescent="0.2">
      <c r="A798" s="5">
        <v>737</v>
      </c>
      <c r="B798" s="138">
        <f>'Expenditures 15-22'!D61</f>
        <v>1328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11515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699736</v>
      </c>
      <c r="C813" s="2" t="s">
        <v>573</v>
      </c>
      <c r="D813" s="2" t="str">
        <f t="shared" si="11"/>
        <v>Error?</v>
      </c>
    </row>
    <row r="814" spans="1:4" x14ac:dyDescent="0.2">
      <c r="A814" s="5">
        <v>753</v>
      </c>
      <c r="B814" s="138">
        <f>'Expenditures 15-22'!D75</f>
        <v>4649</v>
      </c>
      <c r="D814" s="2" t="str">
        <f t="shared" si="11"/>
        <v>Error?</v>
      </c>
    </row>
    <row r="815" spans="1:4" x14ac:dyDescent="0.2">
      <c r="A815" s="5">
        <v>754</v>
      </c>
      <c r="B815" s="138">
        <f>'Expenditures 15-22'!D114</f>
        <v>1517572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175330</v>
      </c>
      <c r="C836" s="2" t="s">
        <v>573</v>
      </c>
      <c r="D836" s="2" t="str">
        <f t="shared" si="12"/>
        <v>Error?</v>
      </c>
    </row>
    <row r="837" spans="1:4" x14ac:dyDescent="0.2">
      <c r="A837" s="5">
        <v>776</v>
      </c>
      <c r="B837" s="138">
        <f>'Expenditures 15-22'!E36</f>
        <v>283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182107</v>
      </c>
      <c r="D839" s="2" t="str">
        <f t="shared" si="12"/>
        <v>Error?</v>
      </c>
    </row>
    <row r="840" spans="1:4" x14ac:dyDescent="0.2">
      <c r="A840" s="5">
        <v>779</v>
      </c>
      <c r="B840" s="138">
        <f>'Expenditures 15-22'!E39</f>
        <v>4712</v>
      </c>
      <c r="D840" s="2" t="str">
        <f t="shared" si="12"/>
        <v>Error?</v>
      </c>
    </row>
    <row r="841" spans="1:4" x14ac:dyDescent="0.2">
      <c r="A841" s="5">
        <v>780</v>
      </c>
      <c r="B841" s="138">
        <f>'Expenditures 15-22'!E40</f>
        <v>964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188066</v>
      </c>
      <c r="C843" s="2" t="s">
        <v>573</v>
      </c>
      <c r="D843" s="2" t="str">
        <f t="shared" si="12"/>
        <v>Error?</v>
      </c>
    </row>
    <row r="844" spans="1:4" x14ac:dyDescent="0.2">
      <c r="A844" s="5">
        <v>783</v>
      </c>
      <c r="B844" s="138">
        <f>'Expenditures 15-22'!E44</f>
        <v>43589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43589</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49957</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1500</v>
      </c>
      <c r="D852" s="2" t="str">
        <f t="shared" si="12"/>
        <v>Error?</v>
      </c>
    </row>
    <row r="853" spans="1:4" x14ac:dyDescent="0.2">
      <c r="A853" s="5">
        <v>792</v>
      </c>
      <c r="B853" s="138">
        <f>'Expenditures 15-22'!E57</f>
        <v>1500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8075</v>
      </c>
      <c r="D855" s="2" t="str">
        <f t="shared" si="12"/>
        <v>Error?</v>
      </c>
    </row>
    <row r="856" spans="1:4" x14ac:dyDescent="0.2">
      <c r="A856" s="5">
        <v>795</v>
      </c>
      <c r="B856" s="138">
        <f>'Expenditures 15-22'!E61</f>
        <v>95284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61054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164413</v>
      </c>
      <c r="C861" s="2" t="s">
        <v>573</v>
      </c>
      <c r="D861" s="2" t="str">
        <f t="shared" si="12"/>
        <v>Error?</v>
      </c>
    </row>
    <row r="862" spans="1:4" x14ac:dyDescent="0.2">
      <c r="A862" s="5">
        <v>801</v>
      </c>
      <c r="B862" s="138">
        <f>'Expenditures 15-22'!E67</f>
        <v>14042</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1930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15972</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463497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638827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84774</v>
      </c>
      <c r="C894" s="2" t="s">
        <v>573</v>
      </c>
      <c r="D894" s="2" t="str">
        <f t="shared" si="12"/>
        <v>Error?</v>
      </c>
    </row>
    <row r="895" spans="1:4" x14ac:dyDescent="0.2">
      <c r="A895" s="5">
        <v>834</v>
      </c>
      <c r="B895" s="138">
        <f>'Expenditures 15-22'!F36</f>
        <v>793</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131</v>
      </c>
      <c r="D897" s="2" t="str">
        <f t="shared" si="13"/>
        <v>Error?</v>
      </c>
    </row>
    <row r="898" spans="1:4" x14ac:dyDescent="0.2">
      <c r="A898" s="5">
        <v>837</v>
      </c>
      <c r="B898" s="138">
        <f>'Expenditures 15-22'!F39</f>
        <v>15329</v>
      </c>
      <c r="D898" s="2" t="str">
        <f t="shared" si="13"/>
        <v>Error?</v>
      </c>
    </row>
    <row r="899" spans="1:4" x14ac:dyDescent="0.2">
      <c r="A899" s="5">
        <v>838</v>
      </c>
      <c r="B899" s="138">
        <f>'Expenditures 15-22'!F40</f>
        <v>5193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21446</v>
      </c>
      <c r="C901" s="2" t="s">
        <v>573</v>
      </c>
      <c r="D901" s="2" t="str">
        <f t="shared" si="13"/>
        <v>Error?</v>
      </c>
    </row>
    <row r="902" spans="1:4" x14ac:dyDescent="0.2">
      <c r="A902" s="5">
        <v>841</v>
      </c>
      <c r="B902" s="138">
        <f>'Expenditures 15-22'!F44</f>
        <v>5861</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5861</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14537</v>
      </c>
      <c r="C908" s="2" t="s">
        <v>573</v>
      </c>
      <c r="D908" s="2" t="str">
        <f t="shared" si="13"/>
        <v>Error?</v>
      </c>
    </row>
    <row r="909" spans="1:4" x14ac:dyDescent="0.2">
      <c r="A909" s="5">
        <v>848</v>
      </c>
      <c r="B909" s="138">
        <f>'Expenditures 15-22'!F55</f>
        <v>19031</v>
      </c>
      <c r="D909" s="2" t="str">
        <f t="shared" si="13"/>
        <v>Error?</v>
      </c>
    </row>
    <row r="910" spans="1:4" x14ac:dyDescent="0.2">
      <c r="A910" s="5">
        <v>849</v>
      </c>
      <c r="B910" s="138">
        <f>'Expenditures 15-22'!F56</f>
        <v>800</v>
      </c>
      <c r="D910" s="2" t="str">
        <f t="shared" si="13"/>
        <v>Error?</v>
      </c>
    </row>
    <row r="911" spans="1:4" x14ac:dyDescent="0.2">
      <c r="A911" s="5">
        <v>850</v>
      </c>
      <c r="B911" s="138">
        <f>'Expenditures 15-22'!F57</f>
        <v>19831</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993</v>
      </c>
      <c r="D913" s="2" t="str">
        <f t="shared" si="13"/>
        <v>Error?</v>
      </c>
    </row>
    <row r="914" spans="1:4" x14ac:dyDescent="0.2">
      <c r="A914" s="5">
        <v>853</v>
      </c>
      <c r="B914" s="138">
        <f>'Expenditures 15-22'!F61</f>
        <v>6389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7382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69057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153831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1871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2086</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2086</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22795</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9465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9465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34346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36217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4340773</v>
      </c>
      <c r="C1108" s="2" t="s">
        <v>573</v>
      </c>
      <c r="D1108" s="2" t="str">
        <f t="shared" si="16"/>
        <v>Error?</v>
      </c>
    </row>
    <row r="1109" spans="1:4" x14ac:dyDescent="0.2">
      <c r="A1109" s="5">
        <v>1048</v>
      </c>
      <c r="B1109" s="138">
        <f>'Expenditures 15-22'!K36</f>
        <v>787176</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182238</v>
      </c>
      <c r="C1111" s="2" t="s">
        <v>573</v>
      </c>
      <c r="D1111" s="2" t="str">
        <f t="shared" si="16"/>
        <v>Error?</v>
      </c>
    </row>
    <row r="1112" spans="1:4" x14ac:dyDescent="0.2">
      <c r="A1112" s="5">
        <v>1051</v>
      </c>
      <c r="B1112" s="138">
        <f>'Expenditures 15-22'!K39</f>
        <v>672031</v>
      </c>
      <c r="C1112" s="2" t="s">
        <v>573</v>
      </c>
      <c r="D1112" s="2" t="str">
        <f t="shared" si="16"/>
        <v>Error?</v>
      </c>
    </row>
    <row r="1113" spans="1:4" x14ac:dyDescent="0.2">
      <c r="A1113" s="5">
        <v>1052</v>
      </c>
      <c r="B1113" s="138">
        <f>'Expenditures 15-22'!K40</f>
        <v>735851</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2377296</v>
      </c>
      <c r="C1115" s="2" t="s">
        <v>573</v>
      </c>
      <c r="D1115" s="2" t="str">
        <f t="shared" si="16"/>
        <v>Error?</v>
      </c>
    </row>
    <row r="1116" spans="1:4" x14ac:dyDescent="0.2">
      <c r="A1116" s="5">
        <v>1055</v>
      </c>
      <c r="B1116" s="138">
        <f>'Expenditures 15-22'!K44</f>
        <v>854785</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854785</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302485</v>
      </c>
      <c r="C1122" s="2" t="s">
        <v>573</v>
      </c>
      <c r="D1122" s="2" t="str">
        <f t="shared" si="16"/>
        <v>Error?</v>
      </c>
    </row>
    <row r="1123" spans="1:4" x14ac:dyDescent="0.2">
      <c r="A1123" s="5">
        <v>1062</v>
      </c>
      <c r="B1123" s="138">
        <f>'Expenditures 15-22'!K55</f>
        <v>123746</v>
      </c>
      <c r="C1123" s="2" t="s">
        <v>573</v>
      </c>
      <c r="D1123" s="2" t="str">
        <f t="shared" si="16"/>
        <v>Error?</v>
      </c>
    </row>
    <row r="1124" spans="1:4" x14ac:dyDescent="0.2">
      <c r="A1124" s="5">
        <v>1063</v>
      </c>
      <c r="B1124" s="138">
        <f>'Expenditures 15-22'!K56</f>
        <v>2300</v>
      </c>
      <c r="C1124" s="2" t="s">
        <v>573</v>
      </c>
      <c r="D1124" s="2" t="str">
        <f t="shared" si="16"/>
        <v>Error?</v>
      </c>
    </row>
    <row r="1125" spans="1:4" x14ac:dyDescent="0.2">
      <c r="A1125" s="5">
        <v>1064</v>
      </c>
      <c r="B1125" s="138">
        <f>'Expenditures 15-22'!K57</f>
        <v>126046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65230</v>
      </c>
      <c r="C1127" s="2" t="s">
        <v>573</v>
      </c>
      <c r="D1127" s="2" t="str">
        <f t="shared" si="16"/>
        <v>Error?</v>
      </c>
    </row>
    <row r="1128" spans="1:4" x14ac:dyDescent="0.2">
      <c r="A1128" s="5">
        <v>1067</v>
      </c>
      <c r="B1128" s="138">
        <f>'Expenditures 15-22'!K61</f>
        <v>118871</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61054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245155</v>
      </c>
      <c r="C1133" s="2" t="s">
        <v>573</v>
      </c>
      <c r="D1133" s="2" t="str">
        <f t="shared" si="16"/>
        <v>Error?</v>
      </c>
    </row>
    <row r="1134" spans="1:4" x14ac:dyDescent="0.2">
      <c r="A1134" s="5">
        <v>1073</v>
      </c>
      <c r="B1134" s="138">
        <f>'Expenditures 15-22'!K67</f>
        <v>14042</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1930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15972</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3921739</v>
      </c>
      <c r="C1143" s="2" t="s">
        <v>573</v>
      </c>
      <c r="D1143" s="2" t="str">
        <f t="shared" si="16"/>
        <v>Error?</v>
      </c>
    </row>
    <row r="1144" spans="1:4" x14ac:dyDescent="0.2">
      <c r="A1144" s="5">
        <v>1083</v>
      </c>
      <c r="B1144" s="138">
        <f>'Expenditures 15-22'!K75</f>
        <v>39257</v>
      </c>
      <c r="C1144" s="2" t="s">
        <v>573</v>
      </c>
      <c r="D1144" s="2" t="str">
        <f t="shared" si="16"/>
        <v>Error?</v>
      </c>
    </row>
    <row r="1145" spans="1:4" x14ac:dyDescent="0.2">
      <c r="A1145" s="5">
        <v>1084</v>
      </c>
      <c r="B1145" s="138">
        <f>'Expenditures 15-22'!K102</f>
        <v>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8301769</v>
      </c>
      <c r="C1152" s="2" t="s">
        <v>573</v>
      </c>
      <c r="D1152" s="2" t="str">
        <f t="shared" si="17"/>
        <v>Error?</v>
      </c>
    </row>
    <row r="1153" spans="1:4" x14ac:dyDescent="0.2">
      <c r="A1153" s="5">
        <v>1092</v>
      </c>
      <c r="B1153" s="138">
        <f>'Expenditures 15-22'!K115</f>
        <v>-945060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1001096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56036</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515570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60666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576236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515570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60666</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576236</v>
      </c>
      <c r="C2031" s="2" t="s">
        <v>573</v>
      </c>
      <c r="D2031" s="2" t="str">
        <f t="shared" si="30"/>
        <v>Error?</v>
      </c>
    </row>
    <row r="2032" spans="1:4" x14ac:dyDescent="0.2">
      <c r="A2032" s="10">
        <v>1971</v>
      </c>
      <c r="D2032" s="2" t="str">
        <f t="shared" si="30"/>
        <v>OK</v>
      </c>
    </row>
    <row r="2033" spans="1:4" x14ac:dyDescent="0.2">
      <c r="A2033" s="5">
        <v>1972</v>
      </c>
      <c r="B2033" s="138">
        <f>'Cap Outlay Deprec 26'!H8</f>
        <v>145255</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46626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191881</v>
      </c>
      <c r="C2037" s="2" t="s">
        <v>573</v>
      </c>
      <c r="D2037" s="2" t="str">
        <f t="shared" si="30"/>
        <v>Error?</v>
      </c>
    </row>
    <row r="2038" spans="1:4" x14ac:dyDescent="0.2">
      <c r="A2038" s="10">
        <v>1977</v>
      </c>
      <c r="D2038" s="2" t="str">
        <f t="shared" si="30"/>
        <v>OK</v>
      </c>
    </row>
    <row r="2039" spans="1:4" x14ac:dyDescent="0.2">
      <c r="A2039" s="5">
        <v>1978</v>
      </c>
      <c r="B2039" s="138">
        <f>'Cap Outlay Deprec 26'!I8</f>
        <v>10311</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6067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16378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155566</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52693</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208259</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360004</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7973</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367977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16563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4556106</v>
      </c>
      <c r="C2551" s="2" t="s">
        <v>573</v>
      </c>
      <c r="D2551" s="2" t="str">
        <f t="shared" si="38"/>
        <v>Error?</v>
      </c>
    </row>
    <row r="2552" spans="1:4" x14ac:dyDescent="0.2">
      <c r="A2552" s="10">
        <v>2491</v>
      </c>
      <c r="D2552" s="2" t="str">
        <f t="shared" si="38"/>
        <v>OK</v>
      </c>
    </row>
    <row r="2553" spans="1:4" x14ac:dyDescent="0.2">
      <c r="A2553" s="5">
        <v>2492</v>
      </c>
      <c r="B2553" s="138">
        <f>'Acct Summary 7-8'!C6</f>
        <v>928339</v>
      </c>
      <c r="C2553" s="2" t="s">
        <v>573</v>
      </c>
      <c r="D2553" s="2" t="str">
        <f t="shared" si="38"/>
        <v>Error?</v>
      </c>
    </row>
    <row r="2554" spans="1:4" x14ac:dyDescent="0.2">
      <c r="A2554" s="5">
        <v>2493</v>
      </c>
      <c r="B2554" s="138">
        <f>'Acct Summary 7-8'!C7</f>
        <v>1872264</v>
      </c>
      <c r="C2554" s="2" t="s">
        <v>573</v>
      </c>
      <c r="D2554" s="2" t="str">
        <f t="shared" si="38"/>
        <v>Error?</v>
      </c>
    </row>
    <row r="2555" spans="1:4" x14ac:dyDescent="0.2">
      <c r="A2555" s="5">
        <v>2494</v>
      </c>
      <c r="B2555" s="138">
        <f>'Acct Summary 7-8'!C8</f>
        <v>7356709</v>
      </c>
      <c r="C2555" s="2" t="s">
        <v>573</v>
      </c>
      <c r="D2555" s="2" t="str">
        <f t="shared" si="38"/>
        <v>Error?</v>
      </c>
    </row>
    <row r="2556" spans="1:4" x14ac:dyDescent="0.2">
      <c r="A2556" s="5">
        <v>2495</v>
      </c>
      <c r="B2556" s="138">
        <f>'Acct Summary 7-8'!C12</f>
        <v>4340773</v>
      </c>
      <c r="C2556" s="2" t="s">
        <v>573</v>
      </c>
      <c r="D2556" s="2" t="str">
        <f t="shared" si="38"/>
        <v>Error?</v>
      </c>
    </row>
    <row r="2557" spans="1:4" x14ac:dyDescent="0.2">
      <c r="A2557" s="5">
        <v>2496</v>
      </c>
      <c r="B2557" s="138">
        <f>'Acct Summary 7-8'!C13</f>
        <v>3921739</v>
      </c>
      <c r="C2557" s="2" t="s">
        <v>573</v>
      </c>
      <c r="D2557" s="2" t="str">
        <f t="shared" si="38"/>
        <v>Error?</v>
      </c>
    </row>
    <row r="2558" spans="1:4" x14ac:dyDescent="0.2">
      <c r="A2558" s="5">
        <v>2497</v>
      </c>
      <c r="B2558" s="138">
        <f>'Acct Summary 7-8'!C14</f>
        <v>39257</v>
      </c>
      <c r="C2558" s="2" t="s">
        <v>573</v>
      </c>
      <c r="D2558" s="2" t="str">
        <f t="shared" si="38"/>
        <v>Error?</v>
      </c>
    </row>
    <row r="2559" spans="1:4" x14ac:dyDescent="0.2">
      <c r="A2559" s="5">
        <v>2498</v>
      </c>
      <c r="B2559" s="138">
        <f>'Acct Summary 7-8'!C15</f>
        <v>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8301769</v>
      </c>
      <c r="C2561" s="2" t="s">
        <v>573</v>
      </c>
      <c r="D2561" s="2" t="str">
        <f t="shared" si="39"/>
        <v>Error?</v>
      </c>
    </row>
    <row r="2562" spans="1:4" x14ac:dyDescent="0.2">
      <c r="A2562" s="5">
        <v>2501</v>
      </c>
      <c r="B2562" s="138">
        <f>'Acct Summary 7-8'!C20</f>
        <v>-945060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172376</v>
      </c>
      <c r="D2718" s="2" t="str">
        <f t="shared" si="41"/>
        <v>Error?</v>
      </c>
    </row>
    <row r="2719" spans="1:4" x14ac:dyDescent="0.2">
      <c r="A2719" s="5">
        <v>2658</v>
      </c>
      <c r="B2719" s="138">
        <f>'Expenditures 15-22'!D51</f>
        <v>35826</v>
      </c>
      <c r="D2719" s="2" t="str">
        <f t="shared" si="41"/>
        <v>Error?</v>
      </c>
    </row>
    <row r="2720" spans="1:4" x14ac:dyDescent="0.2">
      <c r="A2720" s="5">
        <v>2659</v>
      </c>
      <c r="B2720" s="138">
        <f>'Expenditures 15-22'!E51</f>
        <v>49957</v>
      </c>
      <c r="D2720" s="2" t="str">
        <f t="shared" si="41"/>
        <v>Error?</v>
      </c>
    </row>
    <row r="2721" spans="1:4" x14ac:dyDescent="0.2">
      <c r="A2721" s="5">
        <v>2660</v>
      </c>
      <c r="B2721" s="138">
        <f>'Expenditures 15-22'!F51</f>
        <v>14537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22795</v>
      </c>
      <c r="D2723" s="2" t="str">
        <f t="shared" si="41"/>
        <v>Error?</v>
      </c>
    </row>
    <row r="2724" spans="1:4" x14ac:dyDescent="0.2">
      <c r="A2724" s="5">
        <v>2663</v>
      </c>
      <c r="B2724" s="138">
        <f>'Expenditures 15-22'!K51</f>
        <v>302485</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39950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7208</v>
      </c>
      <c r="D2914" s="2" t="str">
        <f t="shared" si="44"/>
        <v>Error?</v>
      </c>
    </row>
    <row r="2915" spans="1:4" x14ac:dyDescent="0.2">
      <c r="A2915" s="10">
        <v>2854</v>
      </c>
      <c r="D2915" s="2" t="str">
        <f t="shared" si="44"/>
        <v>OK</v>
      </c>
    </row>
    <row r="2916" spans="1:4" x14ac:dyDescent="0.2">
      <c r="A2916" s="5">
        <v>2855</v>
      </c>
      <c r="B2916" s="138">
        <f>'Assets-Liab 5-6'!L34</f>
        <v>7208</v>
      </c>
      <c r="C2916" s="2" t="s">
        <v>573</v>
      </c>
      <c r="D2916" s="2" t="str">
        <f t="shared" si="44"/>
        <v>Error?</v>
      </c>
    </row>
    <row r="2917" spans="1:4" x14ac:dyDescent="0.2">
      <c r="A2917" s="5">
        <v>2856</v>
      </c>
      <c r="B2917" s="138">
        <f>'Assets-Liab 5-6'!L41</f>
        <v>39950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32742</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-945060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2896820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733276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175330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78750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1871</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3927684</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41576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39950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3079878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10436587</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3079878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11381647</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56036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76118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103954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1037</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4543245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4543245</v>
      </c>
      <c r="C5087" s="2" t="s">
        <v>573</v>
      </c>
      <c r="D5087" s="2" t="str">
        <f t="shared" si="78"/>
        <v>Error?</v>
      </c>
    </row>
    <row r="5088" spans="1:4" x14ac:dyDescent="0.2">
      <c r="A5088" s="5">
        <v>5027</v>
      </c>
      <c r="B5088" s="138">
        <f>'Revenues 9-14'!C65</f>
        <v>5547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5547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6277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7314</v>
      </c>
      <c r="C5120" s="2" t="s">
        <v>573</v>
      </c>
      <c r="D5120" s="2" t="str">
        <f t="shared" si="79"/>
        <v>Error?</v>
      </c>
    </row>
    <row r="5121" spans="1:4" x14ac:dyDescent="0.2">
      <c r="A5121" s="5">
        <v>5060</v>
      </c>
      <c r="B5121" s="138">
        <f>'Revenues 9-14'!C109</f>
        <v>4556106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927521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927521</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818</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818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928339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23807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12815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36622</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78067</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1577503</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1655570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1872264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1872264</v>
      </c>
      <c r="C5326" s="2" t="s">
        <v>573</v>
      </c>
      <c r="D5326" s="2" t="str">
        <f t="shared" si="82"/>
        <v>Error?</v>
      </c>
    </row>
    <row r="5327" spans="1:5" x14ac:dyDescent="0.2">
      <c r="A5327" s="5">
        <v>5266</v>
      </c>
      <c r="B5327" s="138">
        <f>'Revenues 9-14'!C268</f>
        <v>7356709</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14460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96137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96137</v>
      </c>
      <c r="D6215" s="2" t="str">
        <f t="shared" si="96"/>
        <v>Error?</v>
      </c>
      <c r="E6215" s="2" t="s">
        <v>190</v>
      </c>
    </row>
    <row r="6216" spans="1:5" x14ac:dyDescent="0.2">
      <c r="A6216">
        <v>6155</v>
      </c>
      <c r="B6216" s="138">
        <f>'Assets-Liab 5-6'!J41</f>
        <v>96137</v>
      </c>
      <c r="D6216" s="2" t="str">
        <f t="shared" si="96"/>
        <v>Error?</v>
      </c>
      <c r="E6216" s="2" t="s">
        <v>190</v>
      </c>
    </row>
    <row r="6217" spans="1:5" x14ac:dyDescent="0.2">
      <c r="A6217">
        <v>6156</v>
      </c>
      <c r="B6217" s="138">
        <f>'Assets-Liab 5-6'!J4</f>
        <v>96137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58730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58730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58730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62473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62473</v>
      </c>
      <c r="D6229" s="2" t="str">
        <f t="shared" si="96"/>
        <v>Error?</v>
      </c>
      <c r="E6229" s="2" t="s">
        <v>190</v>
      </c>
    </row>
    <row r="6230" spans="1:5" x14ac:dyDescent="0.2">
      <c r="A6230">
        <v>6169</v>
      </c>
      <c r="B6230" s="138">
        <f>'Acct Summary 7-8'!J20</f>
        <v>-3743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-3743</v>
      </c>
      <c r="D6263" s="2" t="str">
        <f t="shared" si="96"/>
        <v>Error?</v>
      </c>
      <c r="E6263" s="2" t="s">
        <v>190</v>
      </c>
    </row>
    <row r="6264" spans="1:5" x14ac:dyDescent="0.2">
      <c r="A6264">
        <v>6203</v>
      </c>
      <c r="B6264" s="138">
        <f>'Acct Summary 7-8'!J79</f>
        <v>99880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96137</v>
      </c>
      <c r="D6266" s="2" t="str">
        <f t="shared" si="96"/>
        <v>Error?</v>
      </c>
      <c r="E6266" s="2" t="s">
        <v>190</v>
      </c>
    </row>
    <row r="6267" spans="1:5" x14ac:dyDescent="0.2">
      <c r="A6267">
        <v>6206</v>
      </c>
      <c r="B6267" s="138">
        <f>'Acct Summary 7-8'!C82</f>
        <v>-945060</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-3743</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-16.865229495324435</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f>'Acct Summary 7-8'!J83</f>
        <v>-3.8934021240521338E-2</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728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728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58002</v>
      </c>
      <c r="D6350" s="2" t="str">
        <f t="shared" si="98"/>
        <v>Error?</v>
      </c>
      <c r="E6350" s="2" t="s">
        <v>190</v>
      </c>
    </row>
    <row r="6351" spans="1:5" x14ac:dyDescent="0.2">
      <c r="A6351">
        <v>6290</v>
      </c>
      <c r="B6351" s="138">
        <f>'Revenues 9-14'!J108</f>
        <v>58002</v>
      </c>
      <c r="D6351" s="2" t="str">
        <f t="shared" si="98"/>
        <v>Error?</v>
      </c>
      <c r="E6351" s="2" t="s">
        <v>190</v>
      </c>
    </row>
    <row r="6352" spans="1:5" x14ac:dyDescent="0.2">
      <c r="A6352">
        <v>6291</v>
      </c>
      <c r="B6352" s="138">
        <f>'Revenues 9-14'!J109</f>
        <v>58730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41637</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413089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41637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12435</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4718</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10944</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28097</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6994</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6994</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35091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76728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62473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58730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20357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20357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5922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5922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9032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9032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18362</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18362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8800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8800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62473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62473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62473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62473</v>
      </c>
      <c r="D7224" s="2" t="str">
        <f t="shared" si="111"/>
        <v>Error?</v>
      </c>
    </row>
    <row r="7225" spans="1:4" x14ac:dyDescent="0.2">
      <c r="A7225">
        <v>7164</v>
      </c>
      <c r="B7225" s="138">
        <f>'Expenditures 15-22'!K343</f>
        <v>-3743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327154</v>
      </c>
      <c r="D7251" s="2" t="str">
        <f t="shared" si="112"/>
        <v>Error?</v>
      </c>
    </row>
    <row r="7252" spans="1:4" x14ac:dyDescent="0.2">
      <c r="A7252">
        <f t="shared" si="113"/>
        <v>7191</v>
      </c>
      <c r="B7252" s="138">
        <f>'Expenditures 15-22'!D9</f>
        <v>79911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6024</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76728</v>
      </c>
      <c r="D7624" s="2" t="str">
        <f t="shared" si="124"/>
        <v>Error?</v>
      </c>
      <c r="E7624" s="2" t="s">
        <v>19</v>
      </c>
    </row>
    <row r="7625" spans="1:5" x14ac:dyDescent="0.2">
      <c r="A7625">
        <f t="shared" si="123"/>
        <v>7564</v>
      </c>
      <c r="B7625" s="138">
        <f>'Cap Outlay Deprec 26'!I17</f>
        <v>7672.8</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24050.799999999999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60981</v>
      </c>
      <c r="D7797" s="2" t="str">
        <f t="shared" si="127"/>
        <v>Error?</v>
      </c>
      <c r="E7797" s="4" t="s">
        <v>1901</v>
      </c>
    </row>
    <row r="7798" spans="1:5" x14ac:dyDescent="0.2">
      <c r="A7798">
        <v>7737</v>
      </c>
      <c r="B7798" s="138">
        <f>'Contracts Paid in CY 29'!F141</f>
        <v>25000</v>
      </c>
      <c r="D7798" s="2" t="str">
        <f t="shared" si="127"/>
        <v>Error?</v>
      </c>
      <c r="E7798" s="4" t="s">
        <v>1901</v>
      </c>
    </row>
    <row r="7799" spans="1:5" x14ac:dyDescent="0.2">
      <c r="A7799">
        <v>7738</v>
      </c>
      <c r="B7799" s="138">
        <f>'Contracts Paid in CY 29'!G141</f>
        <v>35981</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503" t="s">
        <v>1191</v>
      </c>
      <c r="B2" s="2503"/>
      <c r="C2" s="2503"/>
      <c r="D2" s="2503"/>
      <c r="E2" s="2503"/>
      <c r="F2" s="2503"/>
      <c r="G2" s="2503"/>
      <c r="H2" s="2503"/>
      <c r="I2" s="2503"/>
      <c r="J2" s="2503"/>
      <c r="K2" s="2503"/>
      <c r="L2" s="2503"/>
    </row>
    <row r="3" spans="1:29" ht="13.5" customHeight="1" x14ac:dyDescent="0.2">
      <c r="A3" s="2489" t="s">
        <v>1190</v>
      </c>
      <c r="B3" s="2489"/>
      <c r="C3" s="2489"/>
      <c r="D3" s="2489"/>
      <c r="E3" s="2489"/>
      <c r="F3" s="2489"/>
      <c r="G3" s="2489"/>
      <c r="H3" s="2489"/>
      <c r="I3" s="2489"/>
      <c r="J3" s="2489"/>
      <c r="K3" s="2489"/>
      <c r="L3" s="2489"/>
    </row>
    <row r="4" spans="1:29" ht="13.5" customHeight="1" x14ac:dyDescent="0.2">
      <c r="A4" s="2503" t="s">
        <v>1986</v>
      </c>
      <c r="B4" s="2520"/>
      <c r="C4" s="2520"/>
      <c r="D4" s="2520"/>
      <c r="E4" s="2520"/>
      <c r="F4" s="2520"/>
      <c r="G4" s="2520"/>
      <c r="H4" s="2520"/>
      <c r="I4" s="2520"/>
      <c r="J4" s="2520"/>
      <c r="K4" s="2520"/>
      <c r="L4" s="2520"/>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83" t="str">
        <f>COVER!A17</f>
        <v>Henry Stark County Spec Ed Dist</v>
      </c>
      <c r="B7" s="2484"/>
      <c r="C7" s="2484"/>
      <c r="D7" s="2521"/>
      <c r="E7" s="2522">
        <f>COVER!A13</f>
        <v>28037801060</v>
      </c>
      <c r="F7" s="2523"/>
      <c r="G7" s="2490" t="str">
        <f>COVER!T23</f>
        <v>066-005027</v>
      </c>
      <c r="H7" s="2491"/>
      <c r="I7" s="2491"/>
      <c r="J7" s="2491"/>
      <c r="K7" s="2491"/>
      <c r="L7" s="2492"/>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93"/>
      <c r="B9" s="2494"/>
      <c r="C9" s="2494"/>
      <c r="D9" s="2494"/>
      <c r="E9" s="2494"/>
      <c r="F9" s="2495"/>
      <c r="G9" s="2496" t="str">
        <f>COVER!T13</f>
        <v>Gorenz and Associates, Ltd.</v>
      </c>
      <c r="H9" s="2497"/>
      <c r="I9" s="2497"/>
      <c r="J9" s="2497"/>
      <c r="K9" s="2497"/>
      <c r="L9" s="2498"/>
    </row>
    <row r="10" spans="1:29" ht="13.5" customHeight="1" x14ac:dyDescent="0.2">
      <c r="A10" s="2480" t="str">
        <f>COVER!A38</f>
        <v>T. Gregory Wertheim</v>
      </c>
      <c r="B10" s="2481"/>
      <c r="C10" s="2481"/>
      <c r="D10" s="2481"/>
      <c r="E10" s="2481"/>
      <c r="F10" s="2482"/>
      <c r="G10" s="2496" t="str">
        <f>COVER!T17</f>
        <v>4200 N Knoxville Ave</v>
      </c>
      <c r="H10" s="2509"/>
      <c r="I10" s="2509"/>
      <c r="J10" s="2509"/>
      <c r="K10" s="2509"/>
      <c r="L10" s="2510"/>
    </row>
    <row r="11" spans="1:29" ht="13.5" customHeight="1" x14ac:dyDescent="0.2">
      <c r="A11" s="1181" t="s">
        <v>1519</v>
      </c>
      <c r="B11" s="1182"/>
      <c r="C11" s="1183"/>
      <c r="D11" s="1188"/>
      <c r="E11" s="1183"/>
      <c r="F11" s="1187"/>
      <c r="G11" s="2496" t="str">
        <f>COVER!T19</f>
        <v>Peoria</v>
      </c>
      <c r="H11" s="2509"/>
      <c r="I11" s="2509"/>
      <c r="J11" s="2509"/>
      <c r="K11" s="2509"/>
      <c r="L11" s="2510"/>
    </row>
    <row r="12" spans="1:29" ht="13.5" customHeight="1" x14ac:dyDescent="0.2">
      <c r="A12" s="2514" t="s">
        <v>1518</v>
      </c>
      <c r="B12" s="2515"/>
      <c r="C12" s="2515"/>
      <c r="D12" s="2515"/>
      <c r="E12" s="2515"/>
      <c r="F12" s="2516"/>
      <c r="G12" s="2511"/>
      <c r="H12" s="2512"/>
      <c r="I12" s="2512"/>
      <c r="J12" s="2512"/>
      <c r="K12" s="2512"/>
      <c r="L12" s="2513"/>
    </row>
    <row r="13" spans="1:29" ht="13.5" customHeight="1" x14ac:dyDescent="0.2">
      <c r="A13" s="2496"/>
      <c r="B13" s="2509"/>
      <c r="C13" s="2509"/>
      <c r="D13" s="2509"/>
      <c r="E13" s="2509"/>
      <c r="F13" s="2510"/>
      <c r="G13" s="2504" t="s">
        <v>1520</v>
      </c>
      <c r="H13" s="2505"/>
      <c r="I13" s="2517" t="str">
        <f>COVER!T25</f>
        <v>tpeffer@gorenzcpa.com</v>
      </c>
      <c r="J13" s="2518"/>
      <c r="K13" s="2518"/>
      <c r="L13" s="2519"/>
    </row>
    <row r="14" spans="1:29" ht="13.5" customHeight="1" x14ac:dyDescent="0.2">
      <c r="A14" s="2496" t="str">
        <f>COVER!A19</f>
        <v>1318 W. Sixth Street, PO Box 597</v>
      </c>
      <c r="B14" s="2509"/>
      <c r="C14" s="2509"/>
      <c r="D14" s="2509"/>
      <c r="E14" s="2509"/>
      <c r="F14" s="2510"/>
      <c r="G14" s="1192" t="s">
        <v>1185</v>
      </c>
      <c r="H14" s="1190"/>
      <c r="I14" s="1190"/>
      <c r="J14" s="1190"/>
      <c r="K14" s="1190"/>
      <c r="L14" s="1191"/>
    </row>
    <row r="15" spans="1:29" ht="13.5" customHeight="1" x14ac:dyDescent="0.2">
      <c r="A15" s="2496" t="str">
        <f>COVER!A21</f>
        <v>Kewanee</v>
      </c>
      <c r="B15" s="2509"/>
      <c r="C15" s="2509"/>
      <c r="D15" s="2509"/>
      <c r="E15" s="2509"/>
      <c r="F15" s="2510"/>
      <c r="G15" s="2506" t="str">
        <f>COVER!T15</f>
        <v>Thomas R. Peffer, CPA</v>
      </c>
      <c r="H15" s="2507"/>
      <c r="I15" s="2507"/>
      <c r="J15" s="2507"/>
      <c r="K15" s="2507"/>
      <c r="L15" s="2508"/>
    </row>
    <row r="16" spans="1:29" ht="12.2" customHeight="1" x14ac:dyDescent="0.2">
      <c r="A16" s="2486">
        <f>COVER!A25</f>
        <v>61443</v>
      </c>
      <c r="B16" s="2487"/>
      <c r="C16" s="2487"/>
      <c r="D16" s="2487"/>
      <c r="E16" s="2487"/>
      <c r="F16" s="2488"/>
      <c r="G16" s="2499"/>
      <c r="H16" s="2500"/>
      <c r="I16" s="2500"/>
      <c r="J16" s="2500"/>
      <c r="K16" s="2500"/>
      <c r="L16" s="2501"/>
    </row>
    <row r="17" spans="1:13" ht="12.2" customHeight="1" x14ac:dyDescent="0.2">
      <c r="A17" s="2502"/>
      <c r="B17" s="2487"/>
      <c r="C17" s="2487"/>
      <c r="D17" s="2487"/>
      <c r="E17" s="2487"/>
      <c r="F17" s="2488"/>
      <c r="G17" s="1192" t="s">
        <v>1184</v>
      </c>
      <c r="H17" s="1190"/>
      <c r="I17" s="1190"/>
      <c r="J17" s="1190"/>
      <c r="K17" s="1194" t="s">
        <v>1183</v>
      </c>
      <c r="L17" s="1187"/>
      <c r="M17" s="1180"/>
    </row>
    <row r="18" spans="1:13" ht="12.2" customHeight="1" x14ac:dyDescent="0.2">
      <c r="A18" s="2480"/>
      <c r="B18" s="2481"/>
      <c r="C18" s="2481"/>
      <c r="D18" s="2481"/>
      <c r="E18" s="2481"/>
      <c r="F18" s="2482"/>
      <c r="G18" s="2483" t="str">
        <f>COVER!T21</f>
        <v>309-685-7621</v>
      </c>
      <c r="H18" s="2484"/>
      <c r="I18" s="2484"/>
      <c r="J18" s="2484"/>
      <c r="K18" s="2483" t="str">
        <f>COVER!X21</f>
        <v>309-685-4758</v>
      </c>
      <c r="L18" s="2485"/>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t="s">
        <v>2070</v>
      </c>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t="s">
        <v>2070</v>
      </c>
      <c r="C26" s="1199" t="s">
        <v>1699</v>
      </c>
    </row>
    <row r="27" spans="1:13" s="1195" customFormat="1" ht="9" customHeight="1" x14ac:dyDescent="0.2">
      <c r="B27" s="1200"/>
      <c r="C27" s="1199"/>
    </row>
    <row r="28" spans="1:13" s="1195" customFormat="1" ht="12.2" customHeight="1" x14ac:dyDescent="0.2">
      <c r="A28" s="1202"/>
      <c r="B28" s="1198" t="s">
        <v>2070</v>
      </c>
      <c r="C28" s="1199" t="s">
        <v>1700</v>
      </c>
    </row>
    <row r="29" spans="1:13" s="1195" customFormat="1" ht="9" customHeight="1" x14ac:dyDescent="0.2">
      <c r="A29" s="1202"/>
      <c r="B29" s="1200"/>
      <c r="C29" s="1199"/>
    </row>
    <row r="30" spans="1:13" s="1195" customFormat="1" ht="12.2" customHeight="1" x14ac:dyDescent="0.2">
      <c r="B30" s="1198" t="s">
        <v>2070</v>
      </c>
      <c r="C30" s="1199" t="s">
        <v>1562</v>
      </c>
      <c r="D30" s="1193"/>
      <c r="E30" s="1193"/>
    </row>
    <row r="31" spans="1:13" s="1195" customFormat="1" ht="9" customHeight="1" x14ac:dyDescent="0.2">
      <c r="B31" s="1200"/>
      <c r="C31" s="1199"/>
      <c r="D31" s="1193"/>
      <c r="E31" s="1193"/>
    </row>
    <row r="32" spans="1:13" s="1195" customFormat="1" ht="12.2" customHeight="1" x14ac:dyDescent="0.2">
      <c r="B32" s="1198" t="s">
        <v>2070</v>
      </c>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t="s">
        <v>2070</v>
      </c>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t="s">
        <v>2070</v>
      </c>
      <c r="C38" s="1199" t="s">
        <v>1566</v>
      </c>
    </row>
    <row r="39" spans="1:8" ht="9" customHeight="1" x14ac:dyDescent="0.2">
      <c r="B39" s="1200"/>
      <c r="C39" s="1203"/>
    </row>
    <row r="40" spans="1:8" s="1195" customFormat="1" ht="13.5" customHeight="1" x14ac:dyDescent="0.2">
      <c r="B40" s="1198" t="s">
        <v>2070</v>
      </c>
      <c r="C40" s="1199" t="s">
        <v>1567</v>
      </c>
    </row>
    <row r="41" spans="1:8" ht="9" customHeight="1" x14ac:dyDescent="0.2">
      <c r="A41" s="1204"/>
      <c r="B41" s="1200"/>
      <c r="C41" s="1203"/>
    </row>
    <row r="42" spans="1:8" s="1195" customFormat="1" ht="13.5" customHeight="1" x14ac:dyDescent="0.2">
      <c r="B42" s="1198" t="s">
        <v>2070</v>
      </c>
      <c r="C42" s="1199" t="s">
        <v>1833</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1"/>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524" t="str">
        <f>'Single Audit Cover'!A7</f>
        <v>Henry Stark County Spec Ed Dist</v>
      </c>
      <c r="B1" s="2520"/>
      <c r="C1" s="2520"/>
      <c r="D1" s="2520"/>
    </row>
    <row r="2" spans="1:11" s="1209" customFormat="1" ht="12.75" x14ac:dyDescent="0.2">
      <c r="A2" s="2525">
        <f>'Single Audit Cover'!E7</f>
        <v>28037801060</v>
      </c>
      <c r="B2" s="2526"/>
      <c r="C2" s="2526"/>
      <c r="D2" s="2526"/>
    </row>
    <row r="3" spans="1:11" s="1209" customFormat="1" ht="12.75" x14ac:dyDescent="0.2">
      <c r="A3" s="2524" t="s">
        <v>1513</v>
      </c>
      <c r="B3" s="2520"/>
      <c r="C3" s="2520"/>
      <c r="D3" s="2520"/>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1834</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528" t="str">
        <f>'Single Audit Cover'!A7</f>
        <v>Henry Stark County Spec Ed Dist</v>
      </c>
      <c r="B1" s="2528"/>
      <c r="C1" s="2528"/>
      <c r="D1" s="2528"/>
      <c r="E1" s="2528"/>
    </row>
    <row r="2" spans="1:5" x14ac:dyDescent="0.2">
      <c r="A2" s="2529">
        <f>'Single Audit Cover'!E7</f>
        <v>28037801060</v>
      </c>
      <c r="B2" s="2529"/>
      <c r="C2" s="2529"/>
      <c r="D2" s="2529"/>
      <c r="E2" s="2529"/>
    </row>
    <row r="3" spans="1:5" ht="4.5" customHeight="1" x14ac:dyDescent="0.2"/>
    <row r="4" spans="1:5" x14ac:dyDescent="0.2">
      <c r="A4" s="2528" t="s">
        <v>1245</v>
      </c>
      <c r="B4" s="2528"/>
      <c r="C4" s="2528"/>
      <c r="D4" s="2528"/>
      <c r="E4" s="2528"/>
    </row>
    <row r="5" spans="1:5" x14ac:dyDescent="0.2">
      <c r="A5" s="2531" t="str">
        <f>'Single Audit Cover'!A4</f>
        <v>Year Ending June 30, 2019</v>
      </c>
      <c r="B5" s="2531"/>
      <c r="C5" s="2531"/>
      <c r="D5" s="2531"/>
      <c r="E5" s="2531"/>
    </row>
    <row r="6" spans="1:5" x14ac:dyDescent="0.2">
      <c r="A6" s="2528" t="s">
        <v>1244</v>
      </c>
      <c r="B6" s="2528"/>
      <c r="C6" s="2528"/>
      <c r="D6" s="2528"/>
      <c r="E6" s="2528"/>
    </row>
    <row r="8" spans="1:5" x14ac:dyDescent="0.2">
      <c r="A8" s="1254" t="s">
        <v>1243</v>
      </c>
    </row>
    <row r="10" spans="1:5" x14ac:dyDescent="0.2">
      <c r="A10" s="1255" t="s">
        <v>1242</v>
      </c>
      <c r="B10" s="1256" t="s">
        <v>1241</v>
      </c>
      <c r="C10" s="1256"/>
      <c r="D10" s="1257">
        <f>SUM('Acct Summary 7-8'!C7:K7)</f>
        <v>1872264</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0</v>
      </c>
    </row>
    <row r="15" spans="1:5" x14ac:dyDescent="0.2">
      <c r="A15" s="1255"/>
      <c r="B15" s="1256"/>
      <c r="C15" s="1256"/>
    </row>
    <row r="16" spans="1:5" x14ac:dyDescent="0.2">
      <c r="A16" s="1255" t="s">
        <v>1841</v>
      </c>
      <c r="B16" s="1256"/>
      <c r="C16" s="1256"/>
    </row>
    <row r="17" spans="1:4" x14ac:dyDescent="0.2">
      <c r="A17" s="1255" t="s">
        <v>2058</v>
      </c>
      <c r="B17" s="1256" t="s">
        <v>1236</v>
      </c>
      <c r="C17" s="1256"/>
      <c r="D17" s="1258">
        <f>-SUM('Revenues 9-14'!C264:D264,'Revenues 9-14'!F264:G264)</f>
        <v>-103954</v>
      </c>
    </row>
    <row r="19" spans="1:4" ht="13.5" thickBot="1" x14ac:dyDescent="0.25">
      <c r="A19" s="1259" t="s">
        <v>1235</v>
      </c>
      <c r="D19" s="1260">
        <f>SUM(D10:D17)</f>
        <v>1768310</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530"/>
      <c r="B24" s="2530"/>
      <c r="D24" s="1262"/>
    </row>
    <row r="25" spans="1:4" x14ac:dyDescent="0.2">
      <c r="A25" s="2527"/>
      <c r="B25" s="2527"/>
      <c r="D25" s="1262"/>
    </row>
    <row r="26" spans="1:4" x14ac:dyDescent="0.2">
      <c r="A26" s="2527"/>
      <c r="B26" s="2527"/>
      <c r="D26" s="1262"/>
    </row>
    <row r="27" spans="1:4" x14ac:dyDescent="0.2">
      <c r="A27" s="2527"/>
      <c r="B27" s="2527"/>
      <c r="D27" s="1262"/>
    </row>
    <row r="28" spans="1:4" x14ac:dyDescent="0.2">
      <c r="A28" s="2527"/>
      <c r="B28" s="2527"/>
      <c r="D28" s="1262"/>
    </row>
    <row r="29" spans="1:4" x14ac:dyDescent="0.2">
      <c r="A29" s="2527"/>
      <c r="B29" s="2527"/>
      <c r="D29" s="1262"/>
    </row>
    <row r="30" spans="1:4" x14ac:dyDescent="0.2">
      <c r="A30" s="2527"/>
      <c r="B30" s="2527"/>
      <c r="D30" s="1262"/>
    </row>
    <row r="32" spans="1:4" x14ac:dyDescent="0.2">
      <c r="A32" s="1254" t="s">
        <v>1233</v>
      </c>
      <c r="D32" s="1257">
        <f>SUM(D19:D30)</f>
        <v>1768310</v>
      </c>
    </row>
    <row r="33" spans="1:4" x14ac:dyDescent="0.2">
      <c r="D33" s="1263"/>
    </row>
    <row r="34" spans="1:4" x14ac:dyDescent="0.2">
      <c r="A34" s="317" t="s">
        <v>1232</v>
      </c>
    </row>
    <row r="35" spans="1:4" x14ac:dyDescent="0.2">
      <c r="A35" s="317" t="s">
        <v>1231</v>
      </c>
      <c r="B35" s="1252" t="s">
        <v>1230</v>
      </c>
      <c r="D35" s="1264">
        <v>1768310</v>
      </c>
    </row>
    <row r="37" spans="1:4" x14ac:dyDescent="0.2">
      <c r="A37" s="1254" t="s">
        <v>1229</v>
      </c>
    </row>
    <row r="39" spans="1:4" ht="13.35" customHeight="1" x14ac:dyDescent="0.2">
      <c r="A39" s="1261" t="s">
        <v>1228</v>
      </c>
    </row>
    <row r="40" spans="1:4" x14ac:dyDescent="0.2">
      <c r="A40" s="2527"/>
      <c r="B40" s="2527"/>
      <c r="D40" s="1262"/>
    </row>
    <row r="41" spans="1:4" x14ac:dyDescent="0.2">
      <c r="A41" s="2527"/>
      <c r="B41" s="2527"/>
      <c r="D41" s="1265"/>
    </row>
    <row r="42" spans="1:4" x14ac:dyDescent="0.2">
      <c r="A42" s="2527"/>
      <c r="B42" s="2527"/>
      <c r="D42" s="1265"/>
    </row>
    <row r="43" spans="1:4" x14ac:dyDescent="0.2">
      <c r="A43" s="2527"/>
      <c r="B43" s="2527"/>
      <c r="D43" s="1265"/>
    </row>
    <row r="44" spans="1:4" x14ac:dyDescent="0.2">
      <c r="A44" s="2527"/>
      <c r="B44" s="2527"/>
      <c r="D44" s="1265"/>
    </row>
    <row r="45" spans="1:4" x14ac:dyDescent="0.2">
      <c r="A45" s="2527"/>
      <c r="B45" s="2527"/>
      <c r="D45" s="1265"/>
    </row>
    <row r="47" spans="1:4" x14ac:dyDescent="0.2">
      <c r="B47" s="1266" t="s">
        <v>1227</v>
      </c>
      <c r="C47" s="1266"/>
      <c r="D47" s="1267">
        <f>SUM(D35:D45)</f>
        <v>1768310</v>
      </c>
    </row>
    <row r="49" spans="2:4" x14ac:dyDescent="0.2">
      <c r="B49" s="1266" t="s">
        <v>1226</v>
      </c>
      <c r="C49" s="1266"/>
      <c r="D49" s="1267">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89" t="str">
        <f>'Single Audit Cover'!A7</f>
        <v>Henry Stark County Spec Ed Dist</v>
      </c>
      <c r="C1" s="2532"/>
      <c r="D1" s="2532"/>
      <c r="E1" s="2532"/>
      <c r="F1" s="2532"/>
      <c r="G1" s="2532"/>
      <c r="H1" s="2532"/>
      <c r="I1" s="2532"/>
      <c r="J1" s="2532"/>
      <c r="K1" s="2532"/>
      <c r="L1" s="2532"/>
      <c r="M1" s="2532"/>
    </row>
    <row r="2" spans="2:14" ht="15" x14ac:dyDescent="0.2">
      <c r="B2" s="2533">
        <f>'Single Audit Cover'!E7</f>
        <v>28037801060</v>
      </c>
      <c r="C2" s="2533"/>
      <c r="D2" s="2533"/>
      <c r="E2" s="2533"/>
      <c r="F2" s="2533"/>
      <c r="G2" s="2533"/>
      <c r="H2" s="2533"/>
      <c r="I2" s="2533"/>
      <c r="J2" s="2533"/>
      <c r="K2" s="2533"/>
      <c r="L2" s="2533"/>
      <c r="M2" s="2533"/>
      <c r="N2" s="1296"/>
    </row>
    <row r="3" spans="2:14" ht="15" x14ac:dyDescent="0.2">
      <c r="B3" s="2534" t="s">
        <v>1219</v>
      </c>
      <c r="C3" s="2534"/>
      <c r="D3" s="2534"/>
      <c r="E3" s="2534"/>
      <c r="F3" s="2534"/>
      <c r="G3" s="2534"/>
      <c r="H3" s="2534"/>
      <c r="I3" s="2534"/>
      <c r="J3" s="2534"/>
      <c r="K3" s="2534"/>
      <c r="L3" s="2534"/>
      <c r="M3" s="2534"/>
      <c r="N3" s="1296"/>
    </row>
    <row r="4" spans="2:14" ht="15" x14ac:dyDescent="0.2">
      <c r="B4" s="2535" t="str">
        <f>'Single Audit Cover'!A4</f>
        <v>Year Ending June 30, 2019</v>
      </c>
      <c r="C4" s="2535"/>
      <c r="D4" s="2535"/>
      <c r="E4" s="2535"/>
      <c r="F4" s="2535"/>
      <c r="G4" s="2535"/>
      <c r="H4" s="2535"/>
      <c r="I4" s="2535"/>
      <c r="J4" s="2535"/>
      <c r="K4" s="2535"/>
      <c r="L4" s="2535"/>
      <c r="M4" s="2535"/>
      <c r="N4" s="1296"/>
    </row>
    <row r="6" spans="2:14" x14ac:dyDescent="0.2">
      <c r="B6" s="1297"/>
      <c r="C6" s="1298"/>
      <c r="D6" s="1299" t="s">
        <v>1265</v>
      </c>
      <c r="E6" s="1300" t="s">
        <v>527</v>
      </c>
      <c r="F6" s="1301"/>
      <c r="G6" s="1302" t="s">
        <v>1731</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1836</v>
      </c>
      <c r="I8" s="1313" t="s">
        <v>1262</v>
      </c>
      <c r="J8" s="1312" t="s">
        <v>1987</v>
      </c>
      <c r="K8" s="1313" t="s">
        <v>1261</v>
      </c>
      <c r="L8" s="1314" t="s">
        <v>1257</v>
      </c>
      <c r="M8" s="1315" t="s">
        <v>30</v>
      </c>
    </row>
    <row r="9" spans="2:14" ht="14.25" x14ac:dyDescent="0.2">
      <c r="B9" s="1319" t="s">
        <v>1259</v>
      </c>
      <c r="C9" s="1307" t="s">
        <v>1732</v>
      </c>
      <c r="D9" s="1308" t="s">
        <v>1733</v>
      </c>
      <c r="E9" s="1316" t="s">
        <v>1836</v>
      </c>
      <c r="F9" s="1317" t="s">
        <v>1987</v>
      </c>
      <c r="G9" s="1318" t="s">
        <v>1836</v>
      </c>
      <c r="H9" s="1311" t="s">
        <v>1582</v>
      </c>
      <c r="I9" s="1313" t="s">
        <v>1987</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c r="C12" s="1335"/>
      <c r="D12" s="1336"/>
      <c r="E12" s="1337"/>
      <c r="F12" s="1337"/>
      <c r="G12" s="1337"/>
      <c r="H12" s="1337"/>
      <c r="I12" s="1337"/>
      <c r="J12" s="1337"/>
      <c r="K12" s="1337"/>
      <c r="L12" s="1334">
        <f t="shared" ref="L12:L27" si="0">+G12+I12+K12</f>
        <v>0</v>
      </c>
      <c r="M12" s="1337"/>
    </row>
    <row r="13" spans="2:14" ht="20.100000000000001" customHeight="1" x14ac:dyDescent="0.2">
      <c r="B13" s="1331" t="s">
        <v>2068</v>
      </c>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1734</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1837</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1735</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1736</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1737</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1738</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ransitionEvaluation="1">
    <pageSetUpPr fitToPage="1"/>
  </sheetPr>
  <dimension ref="A1:S77"/>
  <sheetViews>
    <sheetView showGridLines="0" topLeftCell="A4" zoomScaleNormal="100" zoomScaleSheetLayoutView="100" workbookViewId="0">
      <selection activeCell="A4" sqref="A4:S4"/>
    </sheetView>
  </sheetViews>
  <sheetFormatPr defaultColWidth="16.7109375" defaultRowHeight="12.75" x14ac:dyDescent="0.2"/>
  <cols>
    <col min="1" max="1" width="6.5703125" style="1939" customWidth="1"/>
    <col min="2" max="2" width="55" style="1940" customWidth="1"/>
    <col min="3" max="3" width="11" style="1940" customWidth="1"/>
    <col min="4" max="4" width="1.85546875" style="1940" customWidth="1"/>
    <col min="5" max="5" width="13.42578125" style="1940" customWidth="1"/>
    <col min="6" max="6" width="6.42578125" style="1941" customWidth="1"/>
    <col min="7" max="7" width="14" style="1940" customWidth="1"/>
    <col min="8" max="8" width="1.85546875" style="1940" customWidth="1"/>
    <col min="9" max="9" width="13.5703125" style="1940" customWidth="1"/>
    <col min="10" max="10" width="3.85546875" style="1941" customWidth="1"/>
    <col min="11" max="11" width="13.140625" style="1940" bestFit="1" customWidth="1"/>
    <col min="12" max="12" width="4.140625" style="1940" customWidth="1"/>
    <col min="13" max="13" width="13.7109375" style="1940" customWidth="1"/>
    <col min="14" max="14" width="5.28515625" style="1940" customWidth="1"/>
    <col min="15" max="15" width="11" style="1940" customWidth="1"/>
    <col min="16" max="16" width="5.28515625" style="1941" customWidth="1"/>
    <col min="17" max="17" width="15.85546875" style="1940" customWidth="1"/>
    <col min="18" max="18" width="6.140625" style="1940" customWidth="1"/>
    <col min="19" max="19" width="13.85546875" style="1941" customWidth="1"/>
    <col min="20" max="250" width="16.7109375" style="1940"/>
    <col min="251" max="251" width="6.5703125" style="1940" customWidth="1"/>
    <col min="252" max="252" width="55" style="1940" customWidth="1"/>
    <col min="253" max="253" width="11" style="1940" customWidth="1"/>
    <col min="254" max="254" width="1.85546875" style="1940" customWidth="1"/>
    <col min="255" max="255" width="13.42578125" style="1940" customWidth="1"/>
    <col min="256" max="256" width="6.42578125" style="1940" customWidth="1"/>
    <col min="257" max="257" width="14" style="1940" customWidth="1"/>
    <col min="258" max="258" width="1.85546875" style="1940" customWidth="1"/>
    <col min="259" max="259" width="13.5703125" style="1940" customWidth="1"/>
    <col min="260" max="260" width="3.85546875" style="1940" customWidth="1"/>
    <col min="261" max="261" width="13.140625" style="1940" bestFit="1" customWidth="1"/>
    <col min="262" max="262" width="4.140625" style="1940" customWidth="1"/>
    <col min="263" max="263" width="13.7109375" style="1940" customWidth="1"/>
    <col min="264" max="264" width="5.28515625" style="1940" customWidth="1"/>
    <col min="265" max="265" width="11" style="1940" customWidth="1"/>
    <col min="266" max="266" width="5.28515625" style="1940" customWidth="1"/>
    <col min="267" max="267" width="15.85546875" style="1940" customWidth="1"/>
    <col min="268" max="268" width="6.140625" style="1940" customWidth="1"/>
    <col min="269" max="269" width="13.85546875" style="1940" customWidth="1"/>
    <col min="270" max="506" width="16.7109375" style="1940"/>
    <col min="507" max="507" width="6.5703125" style="1940" customWidth="1"/>
    <col min="508" max="508" width="55" style="1940" customWidth="1"/>
    <col min="509" max="509" width="11" style="1940" customWidth="1"/>
    <col min="510" max="510" width="1.85546875" style="1940" customWidth="1"/>
    <col min="511" max="511" width="13.42578125" style="1940" customWidth="1"/>
    <col min="512" max="512" width="6.42578125" style="1940" customWidth="1"/>
    <col min="513" max="513" width="14" style="1940" customWidth="1"/>
    <col min="514" max="514" width="1.85546875" style="1940" customWidth="1"/>
    <col min="515" max="515" width="13.5703125" style="1940" customWidth="1"/>
    <col min="516" max="516" width="3.85546875" style="1940" customWidth="1"/>
    <col min="517" max="517" width="13.140625" style="1940" bestFit="1" customWidth="1"/>
    <col min="518" max="518" width="4.140625" style="1940" customWidth="1"/>
    <col min="519" max="519" width="13.7109375" style="1940" customWidth="1"/>
    <col min="520" max="520" width="5.28515625" style="1940" customWidth="1"/>
    <col min="521" max="521" width="11" style="1940" customWidth="1"/>
    <col min="522" max="522" width="5.28515625" style="1940" customWidth="1"/>
    <col min="523" max="523" width="15.85546875" style="1940" customWidth="1"/>
    <col min="524" max="524" width="6.140625" style="1940" customWidth="1"/>
    <col min="525" max="525" width="13.85546875" style="1940" customWidth="1"/>
    <col min="526" max="762" width="16.7109375" style="1940"/>
    <col min="763" max="763" width="6.5703125" style="1940" customWidth="1"/>
    <col min="764" max="764" width="55" style="1940" customWidth="1"/>
    <col min="765" max="765" width="11" style="1940" customWidth="1"/>
    <col min="766" max="766" width="1.85546875" style="1940" customWidth="1"/>
    <col min="767" max="767" width="13.42578125" style="1940" customWidth="1"/>
    <col min="768" max="768" width="6.42578125" style="1940" customWidth="1"/>
    <col min="769" max="769" width="14" style="1940" customWidth="1"/>
    <col min="770" max="770" width="1.85546875" style="1940" customWidth="1"/>
    <col min="771" max="771" width="13.5703125" style="1940" customWidth="1"/>
    <col min="772" max="772" width="3.85546875" style="1940" customWidth="1"/>
    <col min="773" max="773" width="13.140625" style="1940" bestFit="1" customWidth="1"/>
    <col min="774" max="774" width="4.140625" style="1940" customWidth="1"/>
    <col min="775" max="775" width="13.7109375" style="1940" customWidth="1"/>
    <col min="776" max="776" width="5.28515625" style="1940" customWidth="1"/>
    <col min="777" max="777" width="11" style="1940" customWidth="1"/>
    <col min="778" max="778" width="5.28515625" style="1940" customWidth="1"/>
    <col min="779" max="779" width="15.85546875" style="1940" customWidth="1"/>
    <col min="780" max="780" width="6.140625" style="1940" customWidth="1"/>
    <col min="781" max="781" width="13.85546875" style="1940" customWidth="1"/>
    <col min="782" max="1018" width="16.7109375" style="1940"/>
    <col min="1019" max="1019" width="6.5703125" style="1940" customWidth="1"/>
    <col min="1020" max="1020" width="55" style="1940" customWidth="1"/>
    <col min="1021" max="1021" width="11" style="1940" customWidth="1"/>
    <col min="1022" max="1022" width="1.85546875" style="1940" customWidth="1"/>
    <col min="1023" max="1023" width="13.42578125" style="1940" customWidth="1"/>
    <col min="1024" max="1024" width="6.42578125" style="1940" customWidth="1"/>
    <col min="1025" max="1025" width="14" style="1940" customWidth="1"/>
    <col min="1026" max="1026" width="1.85546875" style="1940" customWidth="1"/>
    <col min="1027" max="1027" width="13.5703125" style="1940" customWidth="1"/>
    <col min="1028" max="1028" width="3.85546875" style="1940" customWidth="1"/>
    <col min="1029" max="1029" width="13.140625" style="1940" bestFit="1" customWidth="1"/>
    <col min="1030" max="1030" width="4.140625" style="1940" customWidth="1"/>
    <col min="1031" max="1031" width="13.7109375" style="1940" customWidth="1"/>
    <col min="1032" max="1032" width="5.28515625" style="1940" customWidth="1"/>
    <col min="1033" max="1033" width="11" style="1940" customWidth="1"/>
    <col min="1034" max="1034" width="5.28515625" style="1940" customWidth="1"/>
    <col min="1035" max="1035" width="15.85546875" style="1940" customWidth="1"/>
    <col min="1036" max="1036" width="6.140625" style="1940" customWidth="1"/>
    <col min="1037" max="1037" width="13.85546875" style="1940" customWidth="1"/>
    <col min="1038" max="1274" width="16.7109375" style="1940"/>
    <col min="1275" max="1275" width="6.5703125" style="1940" customWidth="1"/>
    <col min="1276" max="1276" width="55" style="1940" customWidth="1"/>
    <col min="1277" max="1277" width="11" style="1940" customWidth="1"/>
    <col min="1278" max="1278" width="1.85546875" style="1940" customWidth="1"/>
    <col min="1279" max="1279" width="13.42578125" style="1940" customWidth="1"/>
    <col min="1280" max="1280" width="6.42578125" style="1940" customWidth="1"/>
    <col min="1281" max="1281" width="14" style="1940" customWidth="1"/>
    <col min="1282" max="1282" width="1.85546875" style="1940" customWidth="1"/>
    <col min="1283" max="1283" width="13.5703125" style="1940" customWidth="1"/>
    <col min="1284" max="1284" width="3.85546875" style="1940" customWidth="1"/>
    <col min="1285" max="1285" width="13.140625" style="1940" bestFit="1" customWidth="1"/>
    <col min="1286" max="1286" width="4.140625" style="1940" customWidth="1"/>
    <col min="1287" max="1287" width="13.7109375" style="1940" customWidth="1"/>
    <col min="1288" max="1288" width="5.28515625" style="1940" customWidth="1"/>
    <col min="1289" max="1289" width="11" style="1940" customWidth="1"/>
    <col min="1290" max="1290" width="5.28515625" style="1940" customWidth="1"/>
    <col min="1291" max="1291" width="15.85546875" style="1940" customWidth="1"/>
    <col min="1292" max="1292" width="6.140625" style="1940" customWidth="1"/>
    <col min="1293" max="1293" width="13.85546875" style="1940" customWidth="1"/>
    <col min="1294" max="1530" width="16.7109375" style="1940"/>
    <col min="1531" max="1531" width="6.5703125" style="1940" customWidth="1"/>
    <col min="1532" max="1532" width="55" style="1940" customWidth="1"/>
    <col min="1533" max="1533" width="11" style="1940" customWidth="1"/>
    <col min="1534" max="1534" width="1.85546875" style="1940" customWidth="1"/>
    <col min="1535" max="1535" width="13.42578125" style="1940" customWidth="1"/>
    <col min="1536" max="1536" width="6.42578125" style="1940" customWidth="1"/>
    <col min="1537" max="1537" width="14" style="1940" customWidth="1"/>
    <col min="1538" max="1538" width="1.85546875" style="1940" customWidth="1"/>
    <col min="1539" max="1539" width="13.5703125" style="1940" customWidth="1"/>
    <col min="1540" max="1540" width="3.85546875" style="1940" customWidth="1"/>
    <col min="1541" max="1541" width="13.140625" style="1940" bestFit="1" customWidth="1"/>
    <col min="1542" max="1542" width="4.140625" style="1940" customWidth="1"/>
    <col min="1543" max="1543" width="13.7109375" style="1940" customWidth="1"/>
    <col min="1544" max="1544" width="5.28515625" style="1940" customWidth="1"/>
    <col min="1545" max="1545" width="11" style="1940" customWidth="1"/>
    <col min="1546" max="1546" width="5.28515625" style="1940" customWidth="1"/>
    <col min="1547" max="1547" width="15.85546875" style="1940" customWidth="1"/>
    <col min="1548" max="1548" width="6.140625" style="1940" customWidth="1"/>
    <col min="1549" max="1549" width="13.85546875" style="1940" customWidth="1"/>
    <col min="1550" max="1786" width="16.7109375" style="1940"/>
    <col min="1787" max="1787" width="6.5703125" style="1940" customWidth="1"/>
    <col min="1788" max="1788" width="55" style="1940" customWidth="1"/>
    <col min="1789" max="1789" width="11" style="1940" customWidth="1"/>
    <col min="1790" max="1790" width="1.85546875" style="1940" customWidth="1"/>
    <col min="1791" max="1791" width="13.42578125" style="1940" customWidth="1"/>
    <col min="1792" max="1792" width="6.42578125" style="1940" customWidth="1"/>
    <col min="1793" max="1793" width="14" style="1940" customWidth="1"/>
    <col min="1794" max="1794" width="1.85546875" style="1940" customWidth="1"/>
    <col min="1795" max="1795" width="13.5703125" style="1940" customWidth="1"/>
    <col min="1796" max="1796" width="3.85546875" style="1940" customWidth="1"/>
    <col min="1797" max="1797" width="13.140625" style="1940" bestFit="1" customWidth="1"/>
    <col min="1798" max="1798" width="4.140625" style="1940" customWidth="1"/>
    <col min="1799" max="1799" width="13.7109375" style="1940" customWidth="1"/>
    <col min="1800" max="1800" width="5.28515625" style="1940" customWidth="1"/>
    <col min="1801" max="1801" width="11" style="1940" customWidth="1"/>
    <col min="1802" max="1802" width="5.28515625" style="1940" customWidth="1"/>
    <col min="1803" max="1803" width="15.85546875" style="1940" customWidth="1"/>
    <col min="1804" max="1804" width="6.140625" style="1940" customWidth="1"/>
    <col min="1805" max="1805" width="13.85546875" style="1940" customWidth="1"/>
    <col min="1806" max="2042" width="16.7109375" style="1940"/>
    <col min="2043" max="2043" width="6.5703125" style="1940" customWidth="1"/>
    <col min="2044" max="2044" width="55" style="1940" customWidth="1"/>
    <col min="2045" max="2045" width="11" style="1940" customWidth="1"/>
    <col min="2046" max="2046" width="1.85546875" style="1940" customWidth="1"/>
    <col min="2047" max="2047" width="13.42578125" style="1940" customWidth="1"/>
    <col min="2048" max="2048" width="6.42578125" style="1940" customWidth="1"/>
    <col min="2049" max="2049" width="14" style="1940" customWidth="1"/>
    <col min="2050" max="2050" width="1.85546875" style="1940" customWidth="1"/>
    <col min="2051" max="2051" width="13.5703125" style="1940" customWidth="1"/>
    <col min="2052" max="2052" width="3.85546875" style="1940" customWidth="1"/>
    <col min="2053" max="2053" width="13.140625" style="1940" bestFit="1" customWidth="1"/>
    <col min="2054" max="2054" width="4.140625" style="1940" customWidth="1"/>
    <col min="2055" max="2055" width="13.7109375" style="1940" customWidth="1"/>
    <col min="2056" max="2056" width="5.28515625" style="1940" customWidth="1"/>
    <col min="2057" max="2057" width="11" style="1940" customWidth="1"/>
    <col min="2058" max="2058" width="5.28515625" style="1940" customWidth="1"/>
    <col min="2059" max="2059" width="15.85546875" style="1940" customWidth="1"/>
    <col min="2060" max="2060" width="6.140625" style="1940" customWidth="1"/>
    <col min="2061" max="2061" width="13.85546875" style="1940" customWidth="1"/>
    <col min="2062" max="2298" width="16.7109375" style="1940"/>
    <col min="2299" max="2299" width="6.5703125" style="1940" customWidth="1"/>
    <col min="2300" max="2300" width="55" style="1940" customWidth="1"/>
    <col min="2301" max="2301" width="11" style="1940" customWidth="1"/>
    <col min="2302" max="2302" width="1.85546875" style="1940" customWidth="1"/>
    <col min="2303" max="2303" width="13.42578125" style="1940" customWidth="1"/>
    <col min="2304" max="2304" width="6.42578125" style="1940" customWidth="1"/>
    <col min="2305" max="2305" width="14" style="1940" customWidth="1"/>
    <col min="2306" max="2306" width="1.85546875" style="1940" customWidth="1"/>
    <col min="2307" max="2307" width="13.5703125" style="1940" customWidth="1"/>
    <col min="2308" max="2308" width="3.85546875" style="1940" customWidth="1"/>
    <col min="2309" max="2309" width="13.140625" style="1940" bestFit="1" customWidth="1"/>
    <col min="2310" max="2310" width="4.140625" style="1940" customWidth="1"/>
    <col min="2311" max="2311" width="13.7109375" style="1940" customWidth="1"/>
    <col min="2312" max="2312" width="5.28515625" style="1940" customWidth="1"/>
    <col min="2313" max="2313" width="11" style="1940" customWidth="1"/>
    <col min="2314" max="2314" width="5.28515625" style="1940" customWidth="1"/>
    <col min="2315" max="2315" width="15.85546875" style="1940" customWidth="1"/>
    <col min="2316" max="2316" width="6.140625" style="1940" customWidth="1"/>
    <col min="2317" max="2317" width="13.85546875" style="1940" customWidth="1"/>
    <col min="2318" max="2554" width="16.7109375" style="1940"/>
    <col min="2555" max="2555" width="6.5703125" style="1940" customWidth="1"/>
    <col min="2556" max="2556" width="55" style="1940" customWidth="1"/>
    <col min="2557" max="2557" width="11" style="1940" customWidth="1"/>
    <col min="2558" max="2558" width="1.85546875" style="1940" customWidth="1"/>
    <col min="2559" max="2559" width="13.42578125" style="1940" customWidth="1"/>
    <col min="2560" max="2560" width="6.42578125" style="1940" customWidth="1"/>
    <col min="2561" max="2561" width="14" style="1940" customWidth="1"/>
    <col min="2562" max="2562" width="1.85546875" style="1940" customWidth="1"/>
    <col min="2563" max="2563" width="13.5703125" style="1940" customWidth="1"/>
    <col min="2564" max="2564" width="3.85546875" style="1940" customWidth="1"/>
    <col min="2565" max="2565" width="13.140625" style="1940" bestFit="1" customWidth="1"/>
    <col min="2566" max="2566" width="4.140625" style="1940" customWidth="1"/>
    <col min="2567" max="2567" width="13.7109375" style="1940" customWidth="1"/>
    <col min="2568" max="2568" width="5.28515625" style="1940" customWidth="1"/>
    <col min="2569" max="2569" width="11" style="1940" customWidth="1"/>
    <col min="2570" max="2570" width="5.28515625" style="1940" customWidth="1"/>
    <col min="2571" max="2571" width="15.85546875" style="1940" customWidth="1"/>
    <col min="2572" max="2572" width="6.140625" style="1940" customWidth="1"/>
    <col min="2573" max="2573" width="13.85546875" style="1940" customWidth="1"/>
    <col min="2574" max="2810" width="16.7109375" style="1940"/>
    <col min="2811" max="2811" width="6.5703125" style="1940" customWidth="1"/>
    <col min="2812" max="2812" width="55" style="1940" customWidth="1"/>
    <col min="2813" max="2813" width="11" style="1940" customWidth="1"/>
    <col min="2814" max="2814" width="1.85546875" style="1940" customWidth="1"/>
    <col min="2815" max="2815" width="13.42578125" style="1940" customWidth="1"/>
    <col min="2816" max="2816" width="6.42578125" style="1940" customWidth="1"/>
    <col min="2817" max="2817" width="14" style="1940" customWidth="1"/>
    <col min="2818" max="2818" width="1.85546875" style="1940" customWidth="1"/>
    <col min="2819" max="2819" width="13.5703125" style="1940" customWidth="1"/>
    <col min="2820" max="2820" width="3.85546875" style="1940" customWidth="1"/>
    <col min="2821" max="2821" width="13.140625" style="1940" bestFit="1" customWidth="1"/>
    <col min="2822" max="2822" width="4.140625" style="1940" customWidth="1"/>
    <col min="2823" max="2823" width="13.7109375" style="1940" customWidth="1"/>
    <col min="2824" max="2824" width="5.28515625" style="1940" customWidth="1"/>
    <col min="2825" max="2825" width="11" style="1940" customWidth="1"/>
    <col min="2826" max="2826" width="5.28515625" style="1940" customWidth="1"/>
    <col min="2827" max="2827" width="15.85546875" style="1940" customWidth="1"/>
    <col min="2828" max="2828" width="6.140625" style="1940" customWidth="1"/>
    <col min="2829" max="2829" width="13.85546875" style="1940" customWidth="1"/>
    <col min="2830" max="3066" width="16.7109375" style="1940"/>
    <col min="3067" max="3067" width="6.5703125" style="1940" customWidth="1"/>
    <col min="3068" max="3068" width="55" style="1940" customWidth="1"/>
    <col min="3069" max="3069" width="11" style="1940" customWidth="1"/>
    <col min="3070" max="3070" width="1.85546875" style="1940" customWidth="1"/>
    <col min="3071" max="3071" width="13.42578125" style="1940" customWidth="1"/>
    <col min="3072" max="3072" width="6.42578125" style="1940" customWidth="1"/>
    <col min="3073" max="3073" width="14" style="1940" customWidth="1"/>
    <col min="3074" max="3074" width="1.85546875" style="1940" customWidth="1"/>
    <col min="3075" max="3075" width="13.5703125" style="1940" customWidth="1"/>
    <col min="3076" max="3076" width="3.85546875" style="1940" customWidth="1"/>
    <col min="3077" max="3077" width="13.140625" style="1940" bestFit="1" customWidth="1"/>
    <col min="3078" max="3078" width="4.140625" style="1940" customWidth="1"/>
    <col min="3079" max="3079" width="13.7109375" style="1940" customWidth="1"/>
    <col min="3080" max="3080" width="5.28515625" style="1940" customWidth="1"/>
    <col min="3081" max="3081" width="11" style="1940" customWidth="1"/>
    <col min="3082" max="3082" width="5.28515625" style="1940" customWidth="1"/>
    <col min="3083" max="3083" width="15.85546875" style="1940" customWidth="1"/>
    <col min="3084" max="3084" width="6.140625" style="1940" customWidth="1"/>
    <col min="3085" max="3085" width="13.85546875" style="1940" customWidth="1"/>
    <col min="3086" max="3322" width="16.7109375" style="1940"/>
    <col min="3323" max="3323" width="6.5703125" style="1940" customWidth="1"/>
    <col min="3324" max="3324" width="55" style="1940" customWidth="1"/>
    <col min="3325" max="3325" width="11" style="1940" customWidth="1"/>
    <col min="3326" max="3326" width="1.85546875" style="1940" customWidth="1"/>
    <col min="3327" max="3327" width="13.42578125" style="1940" customWidth="1"/>
    <col min="3328" max="3328" width="6.42578125" style="1940" customWidth="1"/>
    <col min="3329" max="3329" width="14" style="1940" customWidth="1"/>
    <col min="3330" max="3330" width="1.85546875" style="1940" customWidth="1"/>
    <col min="3331" max="3331" width="13.5703125" style="1940" customWidth="1"/>
    <col min="3332" max="3332" width="3.85546875" style="1940" customWidth="1"/>
    <col min="3333" max="3333" width="13.140625" style="1940" bestFit="1" customWidth="1"/>
    <col min="3334" max="3334" width="4.140625" style="1940" customWidth="1"/>
    <col min="3335" max="3335" width="13.7109375" style="1940" customWidth="1"/>
    <col min="3336" max="3336" width="5.28515625" style="1940" customWidth="1"/>
    <col min="3337" max="3337" width="11" style="1940" customWidth="1"/>
    <col min="3338" max="3338" width="5.28515625" style="1940" customWidth="1"/>
    <col min="3339" max="3339" width="15.85546875" style="1940" customWidth="1"/>
    <col min="3340" max="3340" width="6.140625" style="1940" customWidth="1"/>
    <col min="3341" max="3341" width="13.85546875" style="1940" customWidth="1"/>
    <col min="3342" max="3578" width="16.7109375" style="1940"/>
    <col min="3579" max="3579" width="6.5703125" style="1940" customWidth="1"/>
    <col min="3580" max="3580" width="55" style="1940" customWidth="1"/>
    <col min="3581" max="3581" width="11" style="1940" customWidth="1"/>
    <col min="3582" max="3582" width="1.85546875" style="1940" customWidth="1"/>
    <col min="3583" max="3583" width="13.42578125" style="1940" customWidth="1"/>
    <col min="3584" max="3584" width="6.42578125" style="1940" customWidth="1"/>
    <col min="3585" max="3585" width="14" style="1940" customWidth="1"/>
    <col min="3586" max="3586" width="1.85546875" style="1940" customWidth="1"/>
    <col min="3587" max="3587" width="13.5703125" style="1940" customWidth="1"/>
    <col min="3588" max="3588" width="3.85546875" style="1940" customWidth="1"/>
    <col min="3589" max="3589" width="13.140625" style="1940" bestFit="1" customWidth="1"/>
    <col min="3590" max="3590" width="4.140625" style="1940" customWidth="1"/>
    <col min="3591" max="3591" width="13.7109375" style="1940" customWidth="1"/>
    <col min="3592" max="3592" width="5.28515625" style="1940" customWidth="1"/>
    <col min="3593" max="3593" width="11" style="1940" customWidth="1"/>
    <col min="3594" max="3594" width="5.28515625" style="1940" customWidth="1"/>
    <col min="3595" max="3595" width="15.85546875" style="1940" customWidth="1"/>
    <col min="3596" max="3596" width="6.140625" style="1940" customWidth="1"/>
    <col min="3597" max="3597" width="13.85546875" style="1940" customWidth="1"/>
    <col min="3598" max="3834" width="16.7109375" style="1940"/>
    <col min="3835" max="3835" width="6.5703125" style="1940" customWidth="1"/>
    <col min="3836" max="3836" width="55" style="1940" customWidth="1"/>
    <col min="3837" max="3837" width="11" style="1940" customWidth="1"/>
    <col min="3838" max="3838" width="1.85546875" style="1940" customWidth="1"/>
    <col min="3839" max="3839" width="13.42578125" style="1940" customWidth="1"/>
    <col min="3840" max="3840" width="6.42578125" style="1940" customWidth="1"/>
    <col min="3841" max="3841" width="14" style="1940" customWidth="1"/>
    <col min="3842" max="3842" width="1.85546875" style="1940" customWidth="1"/>
    <col min="3843" max="3843" width="13.5703125" style="1940" customWidth="1"/>
    <col min="3844" max="3844" width="3.85546875" style="1940" customWidth="1"/>
    <col min="3845" max="3845" width="13.140625" style="1940" bestFit="1" customWidth="1"/>
    <col min="3846" max="3846" width="4.140625" style="1940" customWidth="1"/>
    <col min="3847" max="3847" width="13.7109375" style="1940" customWidth="1"/>
    <col min="3848" max="3848" width="5.28515625" style="1940" customWidth="1"/>
    <col min="3849" max="3849" width="11" style="1940" customWidth="1"/>
    <col min="3850" max="3850" width="5.28515625" style="1940" customWidth="1"/>
    <col min="3851" max="3851" width="15.85546875" style="1940" customWidth="1"/>
    <col min="3852" max="3852" width="6.140625" style="1940" customWidth="1"/>
    <col min="3853" max="3853" width="13.85546875" style="1940" customWidth="1"/>
    <col min="3854" max="4090" width="16.7109375" style="1940"/>
    <col min="4091" max="4091" width="6.5703125" style="1940" customWidth="1"/>
    <col min="4092" max="4092" width="55" style="1940" customWidth="1"/>
    <col min="4093" max="4093" width="11" style="1940" customWidth="1"/>
    <col min="4094" max="4094" width="1.85546875" style="1940" customWidth="1"/>
    <col min="4095" max="4095" width="13.42578125" style="1940" customWidth="1"/>
    <col min="4096" max="4096" width="6.42578125" style="1940" customWidth="1"/>
    <col min="4097" max="4097" width="14" style="1940" customWidth="1"/>
    <col min="4098" max="4098" width="1.85546875" style="1940" customWidth="1"/>
    <col min="4099" max="4099" width="13.5703125" style="1940" customWidth="1"/>
    <col min="4100" max="4100" width="3.85546875" style="1940" customWidth="1"/>
    <col min="4101" max="4101" width="13.140625" style="1940" bestFit="1" customWidth="1"/>
    <col min="4102" max="4102" width="4.140625" style="1940" customWidth="1"/>
    <col min="4103" max="4103" width="13.7109375" style="1940" customWidth="1"/>
    <col min="4104" max="4104" width="5.28515625" style="1940" customWidth="1"/>
    <col min="4105" max="4105" width="11" style="1940" customWidth="1"/>
    <col min="4106" max="4106" width="5.28515625" style="1940" customWidth="1"/>
    <col min="4107" max="4107" width="15.85546875" style="1940" customWidth="1"/>
    <col min="4108" max="4108" width="6.140625" style="1940" customWidth="1"/>
    <col min="4109" max="4109" width="13.85546875" style="1940" customWidth="1"/>
    <col min="4110" max="4346" width="16.7109375" style="1940"/>
    <col min="4347" max="4347" width="6.5703125" style="1940" customWidth="1"/>
    <col min="4348" max="4348" width="55" style="1940" customWidth="1"/>
    <col min="4349" max="4349" width="11" style="1940" customWidth="1"/>
    <col min="4350" max="4350" width="1.85546875" style="1940" customWidth="1"/>
    <col min="4351" max="4351" width="13.42578125" style="1940" customWidth="1"/>
    <col min="4352" max="4352" width="6.42578125" style="1940" customWidth="1"/>
    <col min="4353" max="4353" width="14" style="1940" customWidth="1"/>
    <col min="4354" max="4354" width="1.85546875" style="1940" customWidth="1"/>
    <col min="4355" max="4355" width="13.5703125" style="1940" customWidth="1"/>
    <col min="4356" max="4356" width="3.85546875" style="1940" customWidth="1"/>
    <col min="4357" max="4357" width="13.140625" style="1940" bestFit="1" customWidth="1"/>
    <col min="4358" max="4358" width="4.140625" style="1940" customWidth="1"/>
    <col min="4359" max="4359" width="13.7109375" style="1940" customWidth="1"/>
    <col min="4360" max="4360" width="5.28515625" style="1940" customWidth="1"/>
    <col min="4361" max="4361" width="11" style="1940" customWidth="1"/>
    <col min="4362" max="4362" width="5.28515625" style="1940" customWidth="1"/>
    <col min="4363" max="4363" width="15.85546875" style="1940" customWidth="1"/>
    <col min="4364" max="4364" width="6.140625" style="1940" customWidth="1"/>
    <col min="4365" max="4365" width="13.85546875" style="1940" customWidth="1"/>
    <col min="4366" max="4602" width="16.7109375" style="1940"/>
    <col min="4603" max="4603" width="6.5703125" style="1940" customWidth="1"/>
    <col min="4604" max="4604" width="55" style="1940" customWidth="1"/>
    <col min="4605" max="4605" width="11" style="1940" customWidth="1"/>
    <col min="4606" max="4606" width="1.85546875" style="1940" customWidth="1"/>
    <col min="4607" max="4607" width="13.42578125" style="1940" customWidth="1"/>
    <col min="4608" max="4608" width="6.42578125" style="1940" customWidth="1"/>
    <col min="4609" max="4609" width="14" style="1940" customWidth="1"/>
    <col min="4610" max="4610" width="1.85546875" style="1940" customWidth="1"/>
    <col min="4611" max="4611" width="13.5703125" style="1940" customWidth="1"/>
    <col min="4612" max="4612" width="3.85546875" style="1940" customWidth="1"/>
    <col min="4613" max="4613" width="13.140625" style="1940" bestFit="1" customWidth="1"/>
    <col min="4614" max="4614" width="4.140625" style="1940" customWidth="1"/>
    <col min="4615" max="4615" width="13.7109375" style="1940" customWidth="1"/>
    <col min="4616" max="4616" width="5.28515625" style="1940" customWidth="1"/>
    <col min="4617" max="4617" width="11" style="1940" customWidth="1"/>
    <col min="4618" max="4618" width="5.28515625" style="1940" customWidth="1"/>
    <col min="4619" max="4619" width="15.85546875" style="1940" customWidth="1"/>
    <col min="4620" max="4620" width="6.140625" style="1940" customWidth="1"/>
    <col min="4621" max="4621" width="13.85546875" style="1940" customWidth="1"/>
    <col min="4622" max="4858" width="16.7109375" style="1940"/>
    <col min="4859" max="4859" width="6.5703125" style="1940" customWidth="1"/>
    <col min="4860" max="4860" width="55" style="1940" customWidth="1"/>
    <col min="4861" max="4861" width="11" style="1940" customWidth="1"/>
    <col min="4862" max="4862" width="1.85546875" style="1940" customWidth="1"/>
    <col min="4863" max="4863" width="13.42578125" style="1940" customWidth="1"/>
    <col min="4864" max="4864" width="6.42578125" style="1940" customWidth="1"/>
    <col min="4865" max="4865" width="14" style="1940" customWidth="1"/>
    <col min="4866" max="4866" width="1.85546875" style="1940" customWidth="1"/>
    <col min="4867" max="4867" width="13.5703125" style="1940" customWidth="1"/>
    <col min="4868" max="4868" width="3.85546875" style="1940" customWidth="1"/>
    <col min="4869" max="4869" width="13.140625" style="1940" bestFit="1" customWidth="1"/>
    <col min="4870" max="4870" width="4.140625" style="1940" customWidth="1"/>
    <col min="4871" max="4871" width="13.7109375" style="1940" customWidth="1"/>
    <col min="4872" max="4872" width="5.28515625" style="1940" customWidth="1"/>
    <col min="4873" max="4873" width="11" style="1940" customWidth="1"/>
    <col min="4874" max="4874" width="5.28515625" style="1940" customWidth="1"/>
    <col min="4875" max="4875" width="15.85546875" style="1940" customWidth="1"/>
    <col min="4876" max="4876" width="6.140625" style="1940" customWidth="1"/>
    <col min="4877" max="4877" width="13.85546875" style="1940" customWidth="1"/>
    <col min="4878" max="5114" width="16.7109375" style="1940"/>
    <col min="5115" max="5115" width="6.5703125" style="1940" customWidth="1"/>
    <col min="5116" max="5116" width="55" style="1940" customWidth="1"/>
    <col min="5117" max="5117" width="11" style="1940" customWidth="1"/>
    <col min="5118" max="5118" width="1.85546875" style="1940" customWidth="1"/>
    <col min="5119" max="5119" width="13.42578125" style="1940" customWidth="1"/>
    <col min="5120" max="5120" width="6.42578125" style="1940" customWidth="1"/>
    <col min="5121" max="5121" width="14" style="1940" customWidth="1"/>
    <col min="5122" max="5122" width="1.85546875" style="1940" customWidth="1"/>
    <col min="5123" max="5123" width="13.5703125" style="1940" customWidth="1"/>
    <col min="5124" max="5124" width="3.85546875" style="1940" customWidth="1"/>
    <col min="5125" max="5125" width="13.140625" style="1940" bestFit="1" customWidth="1"/>
    <col min="5126" max="5126" width="4.140625" style="1940" customWidth="1"/>
    <col min="5127" max="5127" width="13.7109375" style="1940" customWidth="1"/>
    <col min="5128" max="5128" width="5.28515625" style="1940" customWidth="1"/>
    <col min="5129" max="5129" width="11" style="1940" customWidth="1"/>
    <col min="5130" max="5130" width="5.28515625" style="1940" customWidth="1"/>
    <col min="5131" max="5131" width="15.85546875" style="1940" customWidth="1"/>
    <col min="5132" max="5132" width="6.140625" style="1940" customWidth="1"/>
    <col min="5133" max="5133" width="13.85546875" style="1940" customWidth="1"/>
    <col min="5134" max="5370" width="16.7109375" style="1940"/>
    <col min="5371" max="5371" width="6.5703125" style="1940" customWidth="1"/>
    <col min="5372" max="5372" width="55" style="1940" customWidth="1"/>
    <col min="5373" max="5373" width="11" style="1940" customWidth="1"/>
    <col min="5374" max="5374" width="1.85546875" style="1940" customWidth="1"/>
    <col min="5375" max="5375" width="13.42578125" style="1940" customWidth="1"/>
    <col min="5376" max="5376" width="6.42578125" style="1940" customWidth="1"/>
    <col min="5377" max="5377" width="14" style="1940" customWidth="1"/>
    <col min="5378" max="5378" width="1.85546875" style="1940" customWidth="1"/>
    <col min="5379" max="5379" width="13.5703125" style="1940" customWidth="1"/>
    <col min="5380" max="5380" width="3.85546875" style="1940" customWidth="1"/>
    <col min="5381" max="5381" width="13.140625" style="1940" bestFit="1" customWidth="1"/>
    <col min="5382" max="5382" width="4.140625" style="1940" customWidth="1"/>
    <col min="5383" max="5383" width="13.7109375" style="1940" customWidth="1"/>
    <col min="5384" max="5384" width="5.28515625" style="1940" customWidth="1"/>
    <col min="5385" max="5385" width="11" style="1940" customWidth="1"/>
    <col min="5386" max="5386" width="5.28515625" style="1940" customWidth="1"/>
    <col min="5387" max="5387" width="15.85546875" style="1940" customWidth="1"/>
    <col min="5388" max="5388" width="6.140625" style="1940" customWidth="1"/>
    <col min="5389" max="5389" width="13.85546875" style="1940" customWidth="1"/>
    <col min="5390" max="5626" width="16.7109375" style="1940"/>
    <col min="5627" max="5627" width="6.5703125" style="1940" customWidth="1"/>
    <col min="5628" max="5628" width="55" style="1940" customWidth="1"/>
    <col min="5629" max="5629" width="11" style="1940" customWidth="1"/>
    <col min="5630" max="5630" width="1.85546875" style="1940" customWidth="1"/>
    <col min="5631" max="5631" width="13.42578125" style="1940" customWidth="1"/>
    <col min="5632" max="5632" width="6.42578125" style="1940" customWidth="1"/>
    <col min="5633" max="5633" width="14" style="1940" customWidth="1"/>
    <col min="5634" max="5634" width="1.85546875" style="1940" customWidth="1"/>
    <col min="5635" max="5635" width="13.5703125" style="1940" customWidth="1"/>
    <col min="5636" max="5636" width="3.85546875" style="1940" customWidth="1"/>
    <col min="5637" max="5637" width="13.140625" style="1940" bestFit="1" customWidth="1"/>
    <col min="5638" max="5638" width="4.140625" style="1940" customWidth="1"/>
    <col min="5639" max="5639" width="13.7109375" style="1940" customWidth="1"/>
    <col min="5640" max="5640" width="5.28515625" style="1940" customWidth="1"/>
    <col min="5641" max="5641" width="11" style="1940" customWidth="1"/>
    <col min="5642" max="5642" width="5.28515625" style="1940" customWidth="1"/>
    <col min="5643" max="5643" width="15.85546875" style="1940" customWidth="1"/>
    <col min="5644" max="5644" width="6.140625" style="1940" customWidth="1"/>
    <col min="5645" max="5645" width="13.85546875" style="1940" customWidth="1"/>
    <col min="5646" max="5882" width="16.7109375" style="1940"/>
    <col min="5883" max="5883" width="6.5703125" style="1940" customWidth="1"/>
    <col min="5884" max="5884" width="55" style="1940" customWidth="1"/>
    <col min="5885" max="5885" width="11" style="1940" customWidth="1"/>
    <col min="5886" max="5886" width="1.85546875" style="1940" customWidth="1"/>
    <col min="5887" max="5887" width="13.42578125" style="1940" customWidth="1"/>
    <col min="5888" max="5888" width="6.42578125" style="1940" customWidth="1"/>
    <col min="5889" max="5889" width="14" style="1940" customWidth="1"/>
    <col min="5890" max="5890" width="1.85546875" style="1940" customWidth="1"/>
    <col min="5891" max="5891" width="13.5703125" style="1940" customWidth="1"/>
    <col min="5892" max="5892" width="3.85546875" style="1940" customWidth="1"/>
    <col min="5893" max="5893" width="13.140625" style="1940" bestFit="1" customWidth="1"/>
    <col min="5894" max="5894" width="4.140625" style="1940" customWidth="1"/>
    <col min="5895" max="5895" width="13.7109375" style="1940" customWidth="1"/>
    <col min="5896" max="5896" width="5.28515625" style="1940" customWidth="1"/>
    <col min="5897" max="5897" width="11" style="1940" customWidth="1"/>
    <col min="5898" max="5898" width="5.28515625" style="1940" customWidth="1"/>
    <col min="5899" max="5899" width="15.85546875" style="1940" customWidth="1"/>
    <col min="5900" max="5900" width="6.140625" style="1940" customWidth="1"/>
    <col min="5901" max="5901" width="13.85546875" style="1940" customWidth="1"/>
    <col min="5902" max="6138" width="16.7109375" style="1940"/>
    <col min="6139" max="6139" width="6.5703125" style="1940" customWidth="1"/>
    <col min="6140" max="6140" width="55" style="1940" customWidth="1"/>
    <col min="6141" max="6141" width="11" style="1940" customWidth="1"/>
    <col min="6142" max="6142" width="1.85546875" style="1940" customWidth="1"/>
    <col min="6143" max="6143" width="13.42578125" style="1940" customWidth="1"/>
    <col min="6144" max="6144" width="6.42578125" style="1940" customWidth="1"/>
    <col min="6145" max="6145" width="14" style="1940" customWidth="1"/>
    <col min="6146" max="6146" width="1.85546875" style="1940" customWidth="1"/>
    <col min="6147" max="6147" width="13.5703125" style="1940" customWidth="1"/>
    <col min="6148" max="6148" width="3.85546875" style="1940" customWidth="1"/>
    <col min="6149" max="6149" width="13.140625" style="1940" bestFit="1" customWidth="1"/>
    <col min="6150" max="6150" width="4.140625" style="1940" customWidth="1"/>
    <col min="6151" max="6151" width="13.7109375" style="1940" customWidth="1"/>
    <col min="6152" max="6152" width="5.28515625" style="1940" customWidth="1"/>
    <col min="6153" max="6153" width="11" style="1940" customWidth="1"/>
    <col min="6154" max="6154" width="5.28515625" style="1940" customWidth="1"/>
    <col min="6155" max="6155" width="15.85546875" style="1940" customWidth="1"/>
    <col min="6156" max="6156" width="6.140625" style="1940" customWidth="1"/>
    <col min="6157" max="6157" width="13.85546875" style="1940" customWidth="1"/>
    <col min="6158" max="6394" width="16.7109375" style="1940"/>
    <col min="6395" max="6395" width="6.5703125" style="1940" customWidth="1"/>
    <col min="6396" max="6396" width="55" style="1940" customWidth="1"/>
    <col min="6397" max="6397" width="11" style="1940" customWidth="1"/>
    <col min="6398" max="6398" width="1.85546875" style="1940" customWidth="1"/>
    <col min="6399" max="6399" width="13.42578125" style="1940" customWidth="1"/>
    <col min="6400" max="6400" width="6.42578125" style="1940" customWidth="1"/>
    <col min="6401" max="6401" width="14" style="1940" customWidth="1"/>
    <col min="6402" max="6402" width="1.85546875" style="1940" customWidth="1"/>
    <col min="6403" max="6403" width="13.5703125" style="1940" customWidth="1"/>
    <col min="6404" max="6404" width="3.85546875" style="1940" customWidth="1"/>
    <col min="6405" max="6405" width="13.140625" style="1940" bestFit="1" customWidth="1"/>
    <col min="6406" max="6406" width="4.140625" style="1940" customWidth="1"/>
    <col min="6407" max="6407" width="13.7109375" style="1940" customWidth="1"/>
    <col min="6408" max="6408" width="5.28515625" style="1940" customWidth="1"/>
    <col min="6409" max="6409" width="11" style="1940" customWidth="1"/>
    <col min="6410" max="6410" width="5.28515625" style="1940" customWidth="1"/>
    <col min="6411" max="6411" width="15.85546875" style="1940" customWidth="1"/>
    <col min="6412" max="6412" width="6.140625" style="1940" customWidth="1"/>
    <col min="6413" max="6413" width="13.85546875" style="1940" customWidth="1"/>
    <col min="6414" max="6650" width="16.7109375" style="1940"/>
    <col min="6651" max="6651" width="6.5703125" style="1940" customWidth="1"/>
    <col min="6652" max="6652" width="55" style="1940" customWidth="1"/>
    <col min="6653" max="6653" width="11" style="1940" customWidth="1"/>
    <col min="6654" max="6654" width="1.85546875" style="1940" customWidth="1"/>
    <col min="6655" max="6655" width="13.42578125" style="1940" customWidth="1"/>
    <col min="6656" max="6656" width="6.42578125" style="1940" customWidth="1"/>
    <col min="6657" max="6657" width="14" style="1940" customWidth="1"/>
    <col min="6658" max="6658" width="1.85546875" style="1940" customWidth="1"/>
    <col min="6659" max="6659" width="13.5703125" style="1940" customWidth="1"/>
    <col min="6660" max="6660" width="3.85546875" style="1940" customWidth="1"/>
    <col min="6661" max="6661" width="13.140625" style="1940" bestFit="1" customWidth="1"/>
    <col min="6662" max="6662" width="4.140625" style="1940" customWidth="1"/>
    <col min="6663" max="6663" width="13.7109375" style="1940" customWidth="1"/>
    <col min="6664" max="6664" width="5.28515625" style="1940" customWidth="1"/>
    <col min="6665" max="6665" width="11" style="1940" customWidth="1"/>
    <col min="6666" max="6666" width="5.28515625" style="1940" customWidth="1"/>
    <col min="6667" max="6667" width="15.85546875" style="1940" customWidth="1"/>
    <col min="6668" max="6668" width="6.140625" style="1940" customWidth="1"/>
    <col min="6669" max="6669" width="13.85546875" style="1940" customWidth="1"/>
    <col min="6670" max="6906" width="16.7109375" style="1940"/>
    <col min="6907" max="6907" width="6.5703125" style="1940" customWidth="1"/>
    <col min="6908" max="6908" width="55" style="1940" customWidth="1"/>
    <col min="6909" max="6909" width="11" style="1940" customWidth="1"/>
    <col min="6910" max="6910" width="1.85546875" style="1940" customWidth="1"/>
    <col min="6911" max="6911" width="13.42578125" style="1940" customWidth="1"/>
    <col min="6912" max="6912" width="6.42578125" style="1940" customWidth="1"/>
    <col min="6913" max="6913" width="14" style="1940" customWidth="1"/>
    <col min="6914" max="6914" width="1.85546875" style="1940" customWidth="1"/>
    <col min="6915" max="6915" width="13.5703125" style="1940" customWidth="1"/>
    <col min="6916" max="6916" width="3.85546875" style="1940" customWidth="1"/>
    <col min="6917" max="6917" width="13.140625" style="1940" bestFit="1" customWidth="1"/>
    <col min="6918" max="6918" width="4.140625" style="1940" customWidth="1"/>
    <col min="6919" max="6919" width="13.7109375" style="1940" customWidth="1"/>
    <col min="6920" max="6920" width="5.28515625" style="1940" customWidth="1"/>
    <col min="6921" max="6921" width="11" style="1940" customWidth="1"/>
    <col min="6922" max="6922" width="5.28515625" style="1940" customWidth="1"/>
    <col min="6923" max="6923" width="15.85546875" style="1940" customWidth="1"/>
    <col min="6924" max="6924" width="6.140625" style="1940" customWidth="1"/>
    <col min="6925" max="6925" width="13.85546875" style="1940" customWidth="1"/>
    <col min="6926" max="7162" width="16.7109375" style="1940"/>
    <col min="7163" max="7163" width="6.5703125" style="1940" customWidth="1"/>
    <col min="7164" max="7164" width="55" style="1940" customWidth="1"/>
    <col min="7165" max="7165" width="11" style="1940" customWidth="1"/>
    <col min="7166" max="7166" width="1.85546875" style="1940" customWidth="1"/>
    <col min="7167" max="7167" width="13.42578125" style="1940" customWidth="1"/>
    <col min="7168" max="7168" width="6.42578125" style="1940" customWidth="1"/>
    <col min="7169" max="7169" width="14" style="1940" customWidth="1"/>
    <col min="7170" max="7170" width="1.85546875" style="1940" customWidth="1"/>
    <col min="7171" max="7171" width="13.5703125" style="1940" customWidth="1"/>
    <col min="7172" max="7172" width="3.85546875" style="1940" customWidth="1"/>
    <col min="7173" max="7173" width="13.140625" style="1940" bestFit="1" customWidth="1"/>
    <col min="7174" max="7174" width="4.140625" style="1940" customWidth="1"/>
    <col min="7175" max="7175" width="13.7109375" style="1940" customWidth="1"/>
    <col min="7176" max="7176" width="5.28515625" style="1940" customWidth="1"/>
    <col min="7177" max="7177" width="11" style="1940" customWidth="1"/>
    <col min="7178" max="7178" width="5.28515625" style="1940" customWidth="1"/>
    <col min="7179" max="7179" width="15.85546875" style="1940" customWidth="1"/>
    <col min="7180" max="7180" width="6.140625" style="1940" customWidth="1"/>
    <col min="7181" max="7181" width="13.85546875" style="1940" customWidth="1"/>
    <col min="7182" max="7418" width="16.7109375" style="1940"/>
    <col min="7419" max="7419" width="6.5703125" style="1940" customWidth="1"/>
    <col min="7420" max="7420" width="55" style="1940" customWidth="1"/>
    <col min="7421" max="7421" width="11" style="1940" customWidth="1"/>
    <col min="7422" max="7422" width="1.85546875" style="1940" customWidth="1"/>
    <col min="7423" max="7423" width="13.42578125" style="1940" customWidth="1"/>
    <col min="7424" max="7424" width="6.42578125" style="1940" customWidth="1"/>
    <col min="7425" max="7425" width="14" style="1940" customWidth="1"/>
    <col min="7426" max="7426" width="1.85546875" style="1940" customWidth="1"/>
    <col min="7427" max="7427" width="13.5703125" style="1940" customWidth="1"/>
    <col min="7428" max="7428" width="3.85546875" style="1940" customWidth="1"/>
    <col min="7429" max="7429" width="13.140625" style="1940" bestFit="1" customWidth="1"/>
    <col min="7430" max="7430" width="4.140625" style="1940" customWidth="1"/>
    <col min="7431" max="7431" width="13.7109375" style="1940" customWidth="1"/>
    <col min="7432" max="7432" width="5.28515625" style="1940" customWidth="1"/>
    <col min="7433" max="7433" width="11" style="1940" customWidth="1"/>
    <col min="7434" max="7434" width="5.28515625" style="1940" customWidth="1"/>
    <col min="7435" max="7435" width="15.85546875" style="1940" customWidth="1"/>
    <col min="7436" max="7436" width="6.140625" style="1940" customWidth="1"/>
    <col min="7437" max="7437" width="13.85546875" style="1940" customWidth="1"/>
    <col min="7438" max="7674" width="16.7109375" style="1940"/>
    <col min="7675" max="7675" width="6.5703125" style="1940" customWidth="1"/>
    <col min="7676" max="7676" width="55" style="1940" customWidth="1"/>
    <col min="7677" max="7677" width="11" style="1940" customWidth="1"/>
    <col min="7678" max="7678" width="1.85546875" style="1940" customWidth="1"/>
    <col min="7679" max="7679" width="13.42578125" style="1940" customWidth="1"/>
    <col min="7680" max="7680" width="6.42578125" style="1940" customWidth="1"/>
    <col min="7681" max="7681" width="14" style="1940" customWidth="1"/>
    <col min="7682" max="7682" width="1.85546875" style="1940" customWidth="1"/>
    <col min="7683" max="7683" width="13.5703125" style="1940" customWidth="1"/>
    <col min="7684" max="7684" width="3.85546875" style="1940" customWidth="1"/>
    <col min="7685" max="7685" width="13.140625" style="1940" bestFit="1" customWidth="1"/>
    <col min="7686" max="7686" width="4.140625" style="1940" customWidth="1"/>
    <col min="7687" max="7687" width="13.7109375" style="1940" customWidth="1"/>
    <col min="7688" max="7688" width="5.28515625" style="1940" customWidth="1"/>
    <col min="7689" max="7689" width="11" style="1940" customWidth="1"/>
    <col min="7690" max="7690" width="5.28515625" style="1940" customWidth="1"/>
    <col min="7691" max="7691" width="15.85546875" style="1940" customWidth="1"/>
    <col min="7692" max="7692" width="6.140625" style="1940" customWidth="1"/>
    <col min="7693" max="7693" width="13.85546875" style="1940" customWidth="1"/>
    <col min="7694" max="7930" width="16.7109375" style="1940"/>
    <col min="7931" max="7931" width="6.5703125" style="1940" customWidth="1"/>
    <col min="7932" max="7932" width="55" style="1940" customWidth="1"/>
    <col min="7933" max="7933" width="11" style="1940" customWidth="1"/>
    <col min="7934" max="7934" width="1.85546875" style="1940" customWidth="1"/>
    <col min="7935" max="7935" width="13.42578125" style="1940" customWidth="1"/>
    <col min="7936" max="7936" width="6.42578125" style="1940" customWidth="1"/>
    <col min="7937" max="7937" width="14" style="1940" customWidth="1"/>
    <col min="7938" max="7938" width="1.85546875" style="1940" customWidth="1"/>
    <col min="7939" max="7939" width="13.5703125" style="1940" customWidth="1"/>
    <col min="7940" max="7940" width="3.85546875" style="1940" customWidth="1"/>
    <col min="7941" max="7941" width="13.140625" style="1940" bestFit="1" customWidth="1"/>
    <col min="7942" max="7942" width="4.140625" style="1940" customWidth="1"/>
    <col min="7943" max="7943" width="13.7109375" style="1940" customWidth="1"/>
    <col min="7944" max="7944" width="5.28515625" style="1940" customWidth="1"/>
    <col min="7945" max="7945" width="11" style="1940" customWidth="1"/>
    <col min="7946" max="7946" width="5.28515625" style="1940" customWidth="1"/>
    <col min="7947" max="7947" width="15.85546875" style="1940" customWidth="1"/>
    <col min="7948" max="7948" width="6.140625" style="1940" customWidth="1"/>
    <col min="7949" max="7949" width="13.85546875" style="1940" customWidth="1"/>
    <col min="7950" max="8186" width="16.7109375" style="1940"/>
    <col min="8187" max="8187" width="6.5703125" style="1940" customWidth="1"/>
    <col min="8188" max="8188" width="55" style="1940" customWidth="1"/>
    <col min="8189" max="8189" width="11" style="1940" customWidth="1"/>
    <col min="8190" max="8190" width="1.85546875" style="1940" customWidth="1"/>
    <col min="8191" max="8191" width="13.42578125" style="1940" customWidth="1"/>
    <col min="8192" max="8192" width="6.42578125" style="1940" customWidth="1"/>
    <col min="8193" max="8193" width="14" style="1940" customWidth="1"/>
    <col min="8194" max="8194" width="1.85546875" style="1940" customWidth="1"/>
    <col min="8195" max="8195" width="13.5703125" style="1940" customWidth="1"/>
    <col min="8196" max="8196" width="3.85546875" style="1940" customWidth="1"/>
    <col min="8197" max="8197" width="13.140625" style="1940" bestFit="1" customWidth="1"/>
    <col min="8198" max="8198" width="4.140625" style="1940" customWidth="1"/>
    <col min="8199" max="8199" width="13.7109375" style="1940" customWidth="1"/>
    <col min="8200" max="8200" width="5.28515625" style="1940" customWidth="1"/>
    <col min="8201" max="8201" width="11" style="1940" customWidth="1"/>
    <col min="8202" max="8202" width="5.28515625" style="1940" customWidth="1"/>
    <col min="8203" max="8203" width="15.85546875" style="1940" customWidth="1"/>
    <col min="8204" max="8204" width="6.140625" style="1940" customWidth="1"/>
    <col min="8205" max="8205" width="13.85546875" style="1940" customWidth="1"/>
    <col min="8206" max="8442" width="16.7109375" style="1940"/>
    <col min="8443" max="8443" width="6.5703125" style="1940" customWidth="1"/>
    <col min="8444" max="8444" width="55" style="1940" customWidth="1"/>
    <col min="8445" max="8445" width="11" style="1940" customWidth="1"/>
    <col min="8446" max="8446" width="1.85546875" style="1940" customWidth="1"/>
    <col min="8447" max="8447" width="13.42578125" style="1940" customWidth="1"/>
    <col min="8448" max="8448" width="6.42578125" style="1940" customWidth="1"/>
    <col min="8449" max="8449" width="14" style="1940" customWidth="1"/>
    <col min="8450" max="8450" width="1.85546875" style="1940" customWidth="1"/>
    <col min="8451" max="8451" width="13.5703125" style="1940" customWidth="1"/>
    <col min="8452" max="8452" width="3.85546875" style="1940" customWidth="1"/>
    <col min="8453" max="8453" width="13.140625" style="1940" bestFit="1" customWidth="1"/>
    <col min="8454" max="8454" width="4.140625" style="1940" customWidth="1"/>
    <col min="8455" max="8455" width="13.7109375" style="1940" customWidth="1"/>
    <col min="8456" max="8456" width="5.28515625" style="1940" customWidth="1"/>
    <col min="8457" max="8457" width="11" style="1940" customWidth="1"/>
    <col min="8458" max="8458" width="5.28515625" style="1940" customWidth="1"/>
    <col min="8459" max="8459" width="15.85546875" style="1940" customWidth="1"/>
    <col min="8460" max="8460" width="6.140625" style="1940" customWidth="1"/>
    <col min="8461" max="8461" width="13.85546875" style="1940" customWidth="1"/>
    <col min="8462" max="8698" width="16.7109375" style="1940"/>
    <col min="8699" max="8699" width="6.5703125" style="1940" customWidth="1"/>
    <col min="8700" max="8700" width="55" style="1940" customWidth="1"/>
    <col min="8701" max="8701" width="11" style="1940" customWidth="1"/>
    <col min="8702" max="8702" width="1.85546875" style="1940" customWidth="1"/>
    <col min="8703" max="8703" width="13.42578125" style="1940" customWidth="1"/>
    <col min="8704" max="8704" width="6.42578125" style="1940" customWidth="1"/>
    <col min="8705" max="8705" width="14" style="1940" customWidth="1"/>
    <col min="8706" max="8706" width="1.85546875" style="1940" customWidth="1"/>
    <col min="8707" max="8707" width="13.5703125" style="1940" customWidth="1"/>
    <col min="8708" max="8708" width="3.85546875" style="1940" customWidth="1"/>
    <col min="8709" max="8709" width="13.140625" style="1940" bestFit="1" customWidth="1"/>
    <col min="8710" max="8710" width="4.140625" style="1940" customWidth="1"/>
    <col min="8711" max="8711" width="13.7109375" style="1940" customWidth="1"/>
    <col min="8712" max="8712" width="5.28515625" style="1940" customWidth="1"/>
    <col min="8713" max="8713" width="11" style="1940" customWidth="1"/>
    <col min="8714" max="8714" width="5.28515625" style="1940" customWidth="1"/>
    <col min="8715" max="8715" width="15.85546875" style="1940" customWidth="1"/>
    <col min="8716" max="8716" width="6.140625" style="1940" customWidth="1"/>
    <col min="8717" max="8717" width="13.85546875" style="1940" customWidth="1"/>
    <col min="8718" max="8954" width="16.7109375" style="1940"/>
    <col min="8955" max="8955" width="6.5703125" style="1940" customWidth="1"/>
    <col min="8956" max="8956" width="55" style="1940" customWidth="1"/>
    <col min="8957" max="8957" width="11" style="1940" customWidth="1"/>
    <col min="8958" max="8958" width="1.85546875" style="1940" customWidth="1"/>
    <col min="8959" max="8959" width="13.42578125" style="1940" customWidth="1"/>
    <col min="8960" max="8960" width="6.42578125" style="1940" customWidth="1"/>
    <col min="8961" max="8961" width="14" style="1940" customWidth="1"/>
    <col min="8962" max="8962" width="1.85546875" style="1940" customWidth="1"/>
    <col min="8963" max="8963" width="13.5703125" style="1940" customWidth="1"/>
    <col min="8964" max="8964" width="3.85546875" style="1940" customWidth="1"/>
    <col min="8965" max="8965" width="13.140625" style="1940" bestFit="1" customWidth="1"/>
    <col min="8966" max="8966" width="4.140625" style="1940" customWidth="1"/>
    <col min="8967" max="8967" width="13.7109375" style="1940" customWidth="1"/>
    <col min="8968" max="8968" width="5.28515625" style="1940" customWidth="1"/>
    <col min="8969" max="8969" width="11" style="1940" customWidth="1"/>
    <col min="8970" max="8970" width="5.28515625" style="1940" customWidth="1"/>
    <col min="8971" max="8971" width="15.85546875" style="1940" customWidth="1"/>
    <col min="8972" max="8972" width="6.140625" style="1940" customWidth="1"/>
    <col min="8973" max="8973" width="13.85546875" style="1940" customWidth="1"/>
    <col min="8974" max="9210" width="16.7109375" style="1940"/>
    <col min="9211" max="9211" width="6.5703125" style="1940" customWidth="1"/>
    <col min="9212" max="9212" width="55" style="1940" customWidth="1"/>
    <col min="9213" max="9213" width="11" style="1940" customWidth="1"/>
    <col min="9214" max="9214" width="1.85546875" style="1940" customWidth="1"/>
    <col min="9215" max="9215" width="13.42578125" style="1940" customWidth="1"/>
    <col min="9216" max="9216" width="6.42578125" style="1940" customWidth="1"/>
    <col min="9217" max="9217" width="14" style="1940" customWidth="1"/>
    <col min="9218" max="9218" width="1.85546875" style="1940" customWidth="1"/>
    <col min="9219" max="9219" width="13.5703125" style="1940" customWidth="1"/>
    <col min="9220" max="9220" width="3.85546875" style="1940" customWidth="1"/>
    <col min="9221" max="9221" width="13.140625" style="1940" bestFit="1" customWidth="1"/>
    <col min="9222" max="9222" width="4.140625" style="1940" customWidth="1"/>
    <col min="9223" max="9223" width="13.7109375" style="1940" customWidth="1"/>
    <col min="9224" max="9224" width="5.28515625" style="1940" customWidth="1"/>
    <col min="9225" max="9225" width="11" style="1940" customWidth="1"/>
    <col min="9226" max="9226" width="5.28515625" style="1940" customWidth="1"/>
    <col min="9227" max="9227" width="15.85546875" style="1940" customWidth="1"/>
    <col min="9228" max="9228" width="6.140625" style="1940" customWidth="1"/>
    <col min="9229" max="9229" width="13.85546875" style="1940" customWidth="1"/>
    <col min="9230" max="9466" width="16.7109375" style="1940"/>
    <col min="9467" max="9467" width="6.5703125" style="1940" customWidth="1"/>
    <col min="9468" max="9468" width="55" style="1940" customWidth="1"/>
    <col min="9469" max="9469" width="11" style="1940" customWidth="1"/>
    <col min="9470" max="9470" width="1.85546875" style="1940" customWidth="1"/>
    <col min="9471" max="9471" width="13.42578125" style="1940" customWidth="1"/>
    <col min="9472" max="9472" width="6.42578125" style="1940" customWidth="1"/>
    <col min="9473" max="9473" width="14" style="1940" customWidth="1"/>
    <col min="9474" max="9474" width="1.85546875" style="1940" customWidth="1"/>
    <col min="9475" max="9475" width="13.5703125" style="1940" customWidth="1"/>
    <col min="9476" max="9476" width="3.85546875" style="1940" customWidth="1"/>
    <col min="9477" max="9477" width="13.140625" style="1940" bestFit="1" customWidth="1"/>
    <col min="9478" max="9478" width="4.140625" style="1940" customWidth="1"/>
    <col min="9479" max="9479" width="13.7109375" style="1940" customWidth="1"/>
    <col min="9480" max="9480" width="5.28515625" style="1940" customWidth="1"/>
    <col min="9481" max="9481" width="11" style="1940" customWidth="1"/>
    <col min="9482" max="9482" width="5.28515625" style="1940" customWidth="1"/>
    <col min="9483" max="9483" width="15.85546875" style="1940" customWidth="1"/>
    <col min="9484" max="9484" width="6.140625" style="1940" customWidth="1"/>
    <col min="9485" max="9485" width="13.85546875" style="1940" customWidth="1"/>
    <col min="9486" max="9722" width="16.7109375" style="1940"/>
    <col min="9723" max="9723" width="6.5703125" style="1940" customWidth="1"/>
    <col min="9724" max="9724" width="55" style="1940" customWidth="1"/>
    <col min="9725" max="9725" width="11" style="1940" customWidth="1"/>
    <col min="9726" max="9726" width="1.85546875" style="1940" customWidth="1"/>
    <col min="9727" max="9727" width="13.42578125" style="1940" customWidth="1"/>
    <col min="9728" max="9728" width="6.42578125" style="1940" customWidth="1"/>
    <col min="9729" max="9729" width="14" style="1940" customWidth="1"/>
    <col min="9730" max="9730" width="1.85546875" style="1940" customWidth="1"/>
    <col min="9731" max="9731" width="13.5703125" style="1940" customWidth="1"/>
    <col min="9732" max="9732" width="3.85546875" style="1940" customWidth="1"/>
    <col min="9733" max="9733" width="13.140625" style="1940" bestFit="1" customWidth="1"/>
    <col min="9734" max="9734" width="4.140625" style="1940" customWidth="1"/>
    <col min="9735" max="9735" width="13.7109375" style="1940" customWidth="1"/>
    <col min="9736" max="9736" width="5.28515625" style="1940" customWidth="1"/>
    <col min="9737" max="9737" width="11" style="1940" customWidth="1"/>
    <col min="9738" max="9738" width="5.28515625" style="1940" customWidth="1"/>
    <col min="9739" max="9739" width="15.85546875" style="1940" customWidth="1"/>
    <col min="9740" max="9740" width="6.140625" style="1940" customWidth="1"/>
    <col min="9741" max="9741" width="13.85546875" style="1940" customWidth="1"/>
    <col min="9742" max="9978" width="16.7109375" style="1940"/>
    <col min="9979" max="9979" width="6.5703125" style="1940" customWidth="1"/>
    <col min="9980" max="9980" width="55" style="1940" customWidth="1"/>
    <col min="9981" max="9981" width="11" style="1940" customWidth="1"/>
    <col min="9982" max="9982" width="1.85546875" style="1940" customWidth="1"/>
    <col min="9983" max="9983" width="13.42578125" style="1940" customWidth="1"/>
    <col min="9984" max="9984" width="6.42578125" style="1940" customWidth="1"/>
    <col min="9985" max="9985" width="14" style="1940" customWidth="1"/>
    <col min="9986" max="9986" width="1.85546875" style="1940" customWidth="1"/>
    <col min="9987" max="9987" width="13.5703125" style="1940" customWidth="1"/>
    <col min="9988" max="9988" width="3.85546875" style="1940" customWidth="1"/>
    <col min="9989" max="9989" width="13.140625" style="1940" bestFit="1" customWidth="1"/>
    <col min="9990" max="9990" width="4.140625" style="1940" customWidth="1"/>
    <col min="9991" max="9991" width="13.7109375" style="1940" customWidth="1"/>
    <col min="9992" max="9992" width="5.28515625" style="1940" customWidth="1"/>
    <col min="9993" max="9993" width="11" style="1940" customWidth="1"/>
    <col min="9994" max="9994" width="5.28515625" style="1940" customWidth="1"/>
    <col min="9995" max="9995" width="15.85546875" style="1940" customWidth="1"/>
    <col min="9996" max="9996" width="6.140625" style="1940" customWidth="1"/>
    <col min="9997" max="9997" width="13.85546875" style="1940" customWidth="1"/>
    <col min="9998" max="10234" width="16.7109375" style="1940"/>
    <col min="10235" max="10235" width="6.5703125" style="1940" customWidth="1"/>
    <col min="10236" max="10236" width="55" style="1940" customWidth="1"/>
    <col min="10237" max="10237" width="11" style="1940" customWidth="1"/>
    <col min="10238" max="10238" width="1.85546875" style="1940" customWidth="1"/>
    <col min="10239" max="10239" width="13.42578125" style="1940" customWidth="1"/>
    <col min="10240" max="10240" width="6.42578125" style="1940" customWidth="1"/>
    <col min="10241" max="10241" width="14" style="1940" customWidth="1"/>
    <col min="10242" max="10242" width="1.85546875" style="1940" customWidth="1"/>
    <col min="10243" max="10243" width="13.5703125" style="1940" customWidth="1"/>
    <col min="10244" max="10244" width="3.85546875" style="1940" customWidth="1"/>
    <col min="10245" max="10245" width="13.140625" style="1940" bestFit="1" customWidth="1"/>
    <col min="10246" max="10246" width="4.140625" style="1940" customWidth="1"/>
    <col min="10247" max="10247" width="13.7109375" style="1940" customWidth="1"/>
    <col min="10248" max="10248" width="5.28515625" style="1940" customWidth="1"/>
    <col min="10249" max="10249" width="11" style="1940" customWidth="1"/>
    <col min="10250" max="10250" width="5.28515625" style="1940" customWidth="1"/>
    <col min="10251" max="10251" width="15.85546875" style="1940" customWidth="1"/>
    <col min="10252" max="10252" width="6.140625" style="1940" customWidth="1"/>
    <col min="10253" max="10253" width="13.85546875" style="1940" customWidth="1"/>
    <col min="10254" max="10490" width="16.7109375" style="1940"/>
    <col min="10491" max="10491" width="6.5703125" style="1940" customWidth="1"/>
    <col min="10492" max="10492" width="55" style="1940" customWidth="1"/>
    <col min="10493" max="10493" width="11" style="1940" customWidth="1"/>
    <col min="10494" max="10494" width="1.85546875" style="1940" customWidth="1"/>
    <col min="10495" max="10495" width="13.42578125" style="1940" customWidth="1"/>
    <col min="10496" max="10496" width="6.42578125" style="1940" customWidth="1"/>
    <col min="10497" max="10497" width="14" style="1940" customWidth="1"/>
    <col min="10498" max="10498" width="1.85546875" style="1940" customWidth="1"/>
    <col min="10499" max="10499" width="13.5703125" style="1940" customWidth="1"/>
    <col min="10500" max="10500" width="3.85546875" style="1940" customWidth="1"/>
    <col min="10501" max="10501" width="13.140625" style="1940" bestFit="1" customWidth="1"/>
    <col min="10502" max="10502" width="4.140625" style="1940" customWidth="1"/>
    <col min="10503" max="10503" width="13.7109375" style="1940" customWidth="1"/>
    <col min="10504" max="10504" width="5.28515625" style="1940" customWidth="1"/>
    <col min="10505" max="10505" width="11" style="1940" customWidth="1"/>
    <col min="10506" max="10506" width="5.28515625" style="1940" customWidth="1"/>
    <col min="10507" max="10507" width="15.85546875" style="1940" customWidth="1"/>
    <col min="10508" max="10508" width="6.140625" style="1940" customWidth="1"/>
    <col min="10509" max="10509" width="13.85546875" style="1940" customWidth="1"/>
    <col min="10510" max="10746" width="16.7109375" style="1940"/>
    <col min="10747" max="10747" width="6.5703125" style="1940" customWidth="1"/>
    <col min="10748" max="10748" width="55" style="1940" customWidth="1"/>
    <col min="10749" max="10749" width="11" style="1940" customWidth="1"/>
    <col min="10750" max="10750" width="1.85546875" style="1940" customWidth="1"/>
    <col min="10751" max="10751" width="13.42578125" style="1940" customWidth="1"/>
    <col min="10752" max="10752" width="6.42578125" style="1940" customWidth="1"/>
    <col min="10753" max="10753" width="14" style="1940" customWidth="1"/>
    <col min="10754" max="10754" width="1.85546875" style="1940" customWidth="1"/>
    <col min="10755" max="10755" width="13.5703125" style="1940" customWidth="1"/>
    <col min="10756" max="10756" width="3.85546875" style="1940" customWidth="1"/>
    <col min="10757" max="10757" width="13.140625" style="1940" bestFit="1" customWidth="1"/>
    <col min="10758" max="10758" width="4.140625" style="1940" customWidth="1"/>
    <col min="10759" max="10759" width="13.7109375" style="1940" customWidth="1"/>
    <col min="10760" max="10760" width="5.28515625" style="1940" customWidth="1"/>
    <col min="10761" max="10761" width="11" style="1940" customWidth="1"/>
    <col min="10762" max="10762" width="5.28515625" style="1940" customWidth="1"/>
    <col min="10763" max="10763" width="15.85546875" style="1940" customWidth="1"/>
    <col min="10764" max="10764" width="6.140625" style="1940" customWidth="1"/>
    <col min="10765" max="10765" width="13.85546875" style="1940" customWidth="1"/>
    <col min="10766" max="11002" width="16.7109375" style="1940"/>
    <col min="11003" max="11003" width="6.5703125" style="1940" customWidth="1"/>
    <col min="11004" max="11004" width="55" style="1940" customWidth="1"/>
    <col min="11005" max="11005" width="11" style="1940" customWidth="1"/>
    <col min="11006" max="11006" width="1.85546875" style="1940" customWidth="1"/>
    <col min="11007" max="11007" width="13.42578125" style="1940" customWidth="1"/>
    <col min="11008" max="11008" width="6.42578125" style="1940" customWidth="1"/>
    <col min="11009" max="11009" width="14" style="1940" customWidth="1"/>
    <col min="11010" max="11010" width="1.85546875" style="1940" customWidth="1"/>
    <col min="11011" max="11011" width="13.5703125" style="1940" customWidth="1"/>
    <col min="11012" max="11012" width="3.85546875" style="1940" customWidth="1"/>
    <col min="11013" max="11013" width="13.140625" style="1940" bestFit="1" customWidth="1"/>
    <col min="11014" max="11014" width="4.140625" style="1940" customWidth="1"/>
    <col min="11015" max="11015" width="13.7109375" style="1940" customWidth="1"/>
    <col min="11016" max="11016" width="5.28515625" style="1940" customWidth="1"/>
    <col min="11017" max="11017" width="11" style="1940" customWidth="1"/>
    <col min="11018" max="11018" width="5.28515625" style="1940" customWidth="1"/>
    <col min="11019" max="11019" width="15.85546875" style="1940" customWidth="1"/>
    <col min="11020" max="11020" width="6.140625" style="1940" customWidth="1"/>
    <col min="11021" max="11021" width="13.85546875" style="1940" customWidth="1"/>
    <col min="11022" max="11258" width="16.7109375" style="1940"/>
    <col min="11259" max="11259" width="6.5703125" style="1940" customWidth="1"/>
    <col min="11260" max="11260" width="55" style="1940" customWidth="1"/>
    <col min="11261" max="11261" width="11" style="1940" customWidth="1"/>
    <col min="11262" max="11262" width="1.85546875" style="1940" customWidth="1"/>
    <col min="11263" max="11263" width="13.42578125" style="1940" customWidth="1"/>
    <col min="11264" max="11264" width="6.42578125" style="1940" customWidth="1"/>
    <col min="11265" max="11265" width="14" style="1940" customWidth="1"/>
    <col min="11266" max="11266" width="1.85546875" style="1940" customWidth="1"/>
    <col min="11267" max="11267" width="13.5703125" style="1940" customWidth="1"/>
    <col min="11268" max="11268" width="3.85546875" style="1940" customWidth="1"/>
    <col min="11269" max="11269" width="13.140625" style="1940" bestFit="1" customWidth="1"/>
    <col min="11270" max="11270" width="4.140625" style="1940" customWidth="1"/>
    <col min="11271" max="11271" width="13.7109375" style="1940" customWidth="1"/>
    <col min="11272" max="11272" width="5.28515625" style="1940" customWidth="1"/>
    <col min="11273" max="11273" width="11" style="1940" customWidth="1"/>
    <col min="11274" max="11274" width="5.28515625" style="1940" customWidth="1"/>
    <col min="11275" max="11275" width="15.85546875" style="1940" customWidth="1"/>
    <col min="11276" max="11276" width="6.140625" style="1940" customWidth="1"/>
    <col min="11277" max="11277" width="13.85546875" style="1940" customWidth="1"/>
    <col min="11278" max="11514" width="16.7109375" style="1940"/>
    <col min="11515" max="11515" width="6.5703125" style="1940" customWidth="1"/>
    <col min="11516" max="11516" width="55" style="1940" customWidth="1"/>
    <col min="11517" max="11517" width="11" style="1940" customWidth="1"/>
    <col min="11518" max="11518" width="1.85546875" style="1940" customWidth="1"/>
    <col min="11519" max="11519" width="13.42578125" style="1940" customWidth="1"/>
    <col min="11520" max="11520" width="6.42578125" style="1940" customWidth="1"/>
    <col min="11521" max="11521" width="14" style="1940" customWidth="1"/>
    <col min="11522" max="11522" width="1.85546875" style="1940" customWidth="1"/>
    <col min="11523" max="11523" width="13.5703125" style="1940" customWidth="1"/>
    <col min="11524" max="11524" width="3.85546875" style="1940" customWidth="1"/>
    <col min="11525" max="11525" width="13.140625" style="1940" bestFit="1" customWidth="1"/>
    <col min="11526" max="11526" width="4.140625" style="1940" customWidth="1"/>
    <col min="11527" max="11527" width="13.7109375" style="1940" customWidth="1"/>
    <col min="11528" max="11528" width="5.28515625" style="1940" customWidth="1"/>
    <col min="11529" max="11529" width="11" style="1940" customWidth="1"/>
    <col min="11530" max="11530" width="5.28515625" style="1940" customWidth="1"/>
    <col min="11531" max="11531" width="15.85546875" style="1940" customWidth="1"/>
    <col min="11532" max="11532" width="6.140625" style="1940" customWidth="1"/>
    <col min="11533" max="11533" width="13.85546875" style="1940" customWidth="1"/>
    <col min="11534" max="11770" width="16.7109375" style="1940"/>
    <col min="11771" max="11771" width="6.5703125" style="1940" customWidth="1"/>
    <col min="11772" max="11772" width="55" style="1940" customWidth="1"/>
    <col min="11773" max="11773" width="11" style="1940" customWidth="1"/>
    <col min="11774" max="11774" width="1.85546875" style="1940" customWidth="1"/>
    <col min="11775" max="11775" width="13.42578125" style="1940" customWidth="1"/>
    <col min="11776" max="11776" width="6.42578125" style="1940" customWidth="1"/>
    <col min="11777" max="11777" width="14" style="1940" customWidth="1"/>
    <col min="11778" max="11778" width="1.85546875" style="1940" customWidth="1"/>
    <col min="11779" max="11779" width="13.5703125" style="1940" customWidth="1"/>
    <col min="11780" max="11780" width="3.85546875" style="1940" customWidth="1"/>
    <col min="11781" max="11781" width="13.140625" style="1940" bestFit="1" customWidth="1"/>
    <col min="11782" max="11782" width="4.140625" style="1940" customWidth="1"/>
    <col min="11783" max="11783" width="13.7109375" style="1940" customWidth="1"/>
    <col min="11784" max="11784" width="5.28515625" style="1940" customWidth="1"/>
    <col min="11785" max="11785" width="11" style="1940" customWidth="1"/>
    <col min="11786" max="11786" width="5.28515625" style="1940" customWidth="1"/>
    <col min="11787" max="11787" width="15.85546875" style="1940" customWidth="1"/>
    <col min="11788" max="11788" width="6.140625" style="1940" customWidth="1"/>
    <col min="11789" max="11789" width="13.85546875" style="1940" customWidth="1"/>
    <col min="11790" max="12026" width="16.7109375" style="1940"/>
    <col min="12027" max="12027" width="6.5703125" style="1940" customWidth="1"/>
    <col min="12028" max="12028" width="55" style="1940" customWidth="1"/>
    <col min="12029" max="12029" width="11" style="1940" customWidth="1"/>
    <col min="12030" max="12030" width="1.85546875" style="1940" customWidth="1"/>
    <col min="12031" max="12031" width="13.42578125" style="1940" customWidth="1"/>
    <col min="12032" max="12032" width="6.42578125" style="1940" customWidth="1"/>
    <col min="12033" max="12033" width="14" style="1940" customWidth="1"/>
    <col min="12034" max="12034" width="1.85546875" style="1940" customWidth="1"/>
    <col min="12035" max="12035" width="13.5703125" style="1940" customWidth="1"/>
    <col min="12036" max="12036" width="3.85546875" style="1940" customWidth="1"/>
    <col min="12037" max="12037" width="13.140625" style="1940" bestFit="1" customWidth="1"/>
    <col min="12038" max="12038" width="4.140625" style="1940" customWidth="1"/>
    <col min="12039" max="12039" width="13.7109375" style="1940" customWidth="1"/>
    <col min="12040" max="12040" width="5.28515625" style="1940" customWidth="1"/>
    <col min="12041" max="12041" width="11" style="1940" customWidth="1"/>
    <col min="12042" max="12042" width="5.28515625" style="1940" customWidth="1"/>
    <col min="12043" max="12043" width="15.85546875" style="1940" customWidth="1"/>
    <col min="12044" max="12044" width="6.140625" style="1940" customWidth="1"/>
    <col min="12045" max="12045" width="13.85546875" style="1940" customWidth="1"/>
    <col min="12046" max="12282" width="16.7109375" style="1940"/>
    <col min="12283" max="12283" width="6.5703125" style="1940" customWidth="1"/>
    <col min="12284" max="12284" width="55" style="1940" customWidth="1"/>
    <col min="12285" max="12285" width="11" style="1940" customWidth="1"/>
    <col min="12286" max="12286" width="1.85546875" style="1940" customWidth="1"/>
    <col min="12287" max="12287" width="13.42578125" style="1940" customWidth="1"/>
    <col min="12288" max="12288" width="6.42578125" style="1940" customWidth="1"/>
    <col min="12289" max="12289" width="14" style="1940" customWidth="1"/>
    <col min="12290" max="12290" width="1.85546875" style="1940" customWidth="1"/>
    <col min="12291" max="12291" width="13.5703125" style="1940" customWidth="1"/>
    <col min="12292" max="12292" width="3.85546875" style="1940" customWidth="1"/>
    <col min="12293" max="12293" width="13.140625" style="1940" bestFit="1" customWidth="1"/>
    <col min="12294" max="12294" width="4.140625" style="1940" customWidth="1"/>
    <col min="12295" max="12295" width="13.7109375" style="1940" customWidth="1"/>
    <col min="12296" max="12296" width="5.28515625" style="1940" customWidth="1"/>
    <col min="12297" max="12297" width="11" style="1940" customWidth="1"/>
    <col min="12298" max="12298" width="5.28515625" style="1940" customWidth="1"/>
    <col min="12299" max="12299" width="15.85546875" style="1940" customWidth="1"/>
    <col min="12300" max="12300" width="6.140625" style="1940" customWidth="1"/>
    <col min="12301" max="12301" width="13.85546875" style="1940" customWidth="1"/>
    <col min="12302" max="12538" width="16.7109375" style="1940"/>
    <col min="12539" max="12539" width="6.5703125" style="1940" customWidth="1"/>
    <col min="12540" max="12540" width="55" style="1940" customWidth="1"/>
    <col min="12541" max="12541" width="11" style="1940" customWidth="1"/>
    <col min="12542" max="12542" width="1.85546875" style="1940" customWidth="1"/>
    <col min="12543" max="12543" width="13.42578125" style="1940" customWidth="1"/>
    <col min="12544" max="12544" width="6.42578125" style="1940" customWidth="1"/>
    <col min="12545" max="12545" width="14" style="1940" customWidth="1"/>
    <col min="12546" max="12546" width="1.85546875" style="1940" customWidth="1"/>
    <col min="12547" max="12547" width="13.5703125" style="1940" customWidth="1"/>
    <col min="12548" max="12548" width="3.85546875" style="1940" customWidth="1"/>
    <col min="12549" max="12549" width="13.140625" style="1940" bestFit="1" customWidth="1"/>
    <col min="12550" max="12550" width="4.140625" style="1940" customWidth="1"/>
    <col min="12551" max="12551" width="13.7109375" style="1940" customWidth="1"/>
    <col min="12552" max="12552" width="5.28515625" style="1940" customWidth="1"/>
    <col min="12553" max="12553" width="11" style="1940" customWidth="1"/>
    <col min="12554" max="12554" width="5.28515625" style="1940" customWidth="1"/>
    <col min="12555" max="12555" width="15.85546875" style="1940" customWidth="1"/>
    <col min="12556" max="12556" width="6.140625" style="1940" customWidth="1"/>
    <col min="12557" max="12557" width="13.85546875" style="1940" customWidth="1"/>
    <col min="12558" max="12794" width="16.7109375" style="1940"/>
    <col min="12795" max="12795" width="6.5703125" style="1940" customWidth="1"/>
    <col min="12796" max="12796" width="55" style="1940" customWidth="1"/>
    <col min="12797" max="12797" width="11" style="1940" customWidth="1"/>
    <col min="12798" max="12798" width="1.85546875" style="1940" customWidth="1"/>
    <col min="12799" max="12799" width="13.42578125" style="1940" customWidth="1"/>
    <col min="12800" max="12800" width="6.42578125" style="1940" customWidth="1"/>
    <col min="12801" max="12801" width="14" style="1940" customWidth="1"/>
    <col min="12802" max="12802" width="1.85546875" style="1940" customWidth="1"/>
    <col min="12803" max="12803" width="13.5703125" style="1940" customWidth="1"/>
    <col min="12804" max="12804" width="3.85546875" style="1940" customWidth="1"/>
    <col min="12805" max="12805" width="13.140625" style="1940" bestFit="1" customWidth="1"/>
    <col min="12806" max="12806" width="4.140625" style="1940" customWidth="1"/>
    <col min="12807" max="12807" width="13.7109375" style="1940" customWidth="1"/>
    <col min="12808" max="12808" width="5.28515625" style="1940" customWidth="1"/>
    <col min="12809" max="12809" width="11" style="1940" customWidth="1"/>
    <col min="12810" max="12810" width="5.28515625" style="1940" customWidth="1"/>
    <col min="12811" max="12811" width="15.85546875" style="1940" customWidth="1"/>
    <col min="12812" max="12812" width="6.140625" style="1940" customWidth="1"/>
    <col min="12813" max="12813" width="13.85546875" style="1940" customWidth="1"/>
    <col min="12814" max="13050" width="16.7109375" style="1940"/>
    <col min="13051" max="13051" width="6.5703125" style="1940" customWidth="1"/>
    <col min="13052" max="13052" width="55" style="1940" customWidth="1"/>
    <col min="13053" max="13053" width="11" style="1940" customWidth="1"/>
    <col min="13054" max="13054" width="1.85546875" style="1940" customWidth="1"/>
    <col min="13055" max="13055" width="13.42578125" style="1940" customWidth="1"/>
    <col min="13056" max="13056" width="6.42578125" style="1940" customWidth="1"/>
    <col min="13057" max="13057" width="14" style="1940" customWidth="1"/>
    <col min="13058" max="13058" width="1.85546875" style="1940" customWidth="1"/>
    <col min="13059" max="13059" width="13.5703125" style="1940" customWidth="1"/>
    <col min="13060" max="13060" width="3.85546875" style="1940" customWidth="1"/>
    <col min="13061" max="13061" width="13.140625" style="1940" bestFit="1" customWidth="1"/>
    <col min="13062" max="13062" width="4.140625" style="1940" customWidth="1"/>
    <col min="13063" max="13063" width="13.7109375" style="1940" customWidth="1"/>
    <col min="13064" max="13064" width="5.28515625" style="1940" customWidth="1"/>
    <col min="13065" max="13065" width="11" style="1940" customWidth="1"/>
    <col min="13066" max="13066" width="5.28515625" style="1940" customWidth="1"/>
    <col min="13067" max="13067" width="15.85546875" style="1940" customWidth="1"/>
    <col min="13068" max="13068" width="6.140625" style="1940" customWidth="1"/>
    <col min="13069" max="13069" width="13.85546875" style="1940" customWidth="1"/>
    <col min="13070" max="13306" width="16.7109375" style="1940"/>
    <col min="13307" max="13307" width="6.5703125" style="1940" customWidth="1"/>
    <col min="13308" max="13308" width="55" style="1940" customWidth="1"/>
    <col min="13309" max="13309" width="11" style="1940" customWidth="1"/>
    <col min="13310" max="13310" width="1.85546875" style="1940" customWidth="1"/>
    <col min="13311" max="13311" width="13.42578125" style="1940" customWidth="1"/>
    <col min="13312" max="13312" width="6.42578125" style="1940" customWidth="1"/>
    <col min="13313" max="13313" width="14" style="1940" customWidth="1"/>
    <col min="13314" max="13314" width="1.85546875" style="1940" customWidth="1"/>
    <col min="13315" max="13315" width="13.5703125" style="1940" customWidth="1"/>
    <col min="13316" max="13316" width="3.85546875" style="1940" customWidth="1"/>
    <col min="13317" max="13317" width="13.140625" style="1940" bestFit="1" customWidth="1"/>
    <col min="13318" max="13318" width="4.140625" style="1940" customWidth="1"/>
    <col min="13319" max="13319" width="13.7109375" style="1940" customWidth="1"/>
    <col min="13320" max="13320" width="5.28515625" style="1940" customWidth="1"/>
    <col min="13321" max="13321" width="11" style="1940" customWidth="1"/>
    <col min="13322" max="13322" width="5.28515625" style="1940" customWidth="1"/>
    <col min="13323" max="13323" width="15.85546875" style="1940" customWidth="1"/>
    <col min="13324" max="13324" width="6.140625" style="1940" customWidth="1"/>
    <col min="13325" max="13325" width="13.85546875" style="1940" customWidth="1"/>
    <col min="13326" max="13562" width="16.7109375" style="1940"/>
    <col min="13563" max="13563" width="6.5703125" style="1940" customWidth="1"/>
    <col min="13564" max="13564" width="55" style="1940" customWidth="1"/>
    <col min="13565" max="13565" width="11" style="1940" customWidth="1"/>
    <col min="13566" max="13566" width="1.85546875" style="1940" customWidth="1"/>
    <col min="13567" max="13567" width="13.42578125" style="1940" customWidth="1"/>
    <col min="13568" max="13568" width="6.42578125" style="1940" customWidth="1"/>
    <col min="13569" max="13569" width="14" style="1940" customWidth="1"/>
    <col min="13570" max="13570" width="1.85546875" style="1940" customWidth="1"/>
    <col min="13571" max="13571" width="13.5703125" style="1940" customWidth="1"/>
    <col min="13572" max="13572" width="3.85546875" style="1940" customWidth="1"/>
    <col min="13573" max="13573" width="13.140625" style="1940" bestFit="1" customWidth="1"/>
    <col min="13574" max="13574" width="4.140625" style="1940" customWidth="1"/>
    <col min="13575" max="13575" width="13.7109375" style="1940" customWidth="1"/>
    <col min="13576" max="13576" width="5.28515625" style="1940" customWidth="1"/>
    <col min="13577" max="13577" width="11" style="1940" customWidth="1"/>
    <col min="13578" max="13578" width="5.28515625" style="1940" customWidth="1"/>
    <col min="13579" max="13579" width="15.85546875" style="1940" customWidth="1"/>
    <col min="13580" max="13580" width="6.140625" style="1940" customWidth="1"/>
    <col min="13581" max="13581" width="13.85546875" style="1940" customWidth="1"/>
    <col min="13582" max="13818" width="16.7109375" style="1940"/>
    <col min="13819" max="13819" width="6.5703125" style="1940" customWidth="1"/>
    <col min="13820" max="13820" width="55" style="1940" customWidth="1"/>
    <col min="13821" max="13821" width="11" style="1940" customWidth="1"/>
    <col min="13822" max="13822" width="1.85546875" style="1940" customWidth="1"/>
    <col min="13823" max="13823" width="13.42578125" style="1940" customWidth="1"/>
    <col min="13824" max="13824" width="6.42578125" style="1940" customWidth="1"/>
    <col min="13825" max="13825" width="14" style="1940" customWidth="1"/>
    <col min="13826" max="13826" width="1.85546875" style="1940" customWidth="1"/>
    <col min="13827" max="13827" width="13.5703125" style="1940" customWidth="1"/>
    <col min="13828" max="13828" width="3.85546875" style="1940" customWidth="1"/>
    <col min="13829" max="13829" width="13.140625" style="1940" bestFit="1" customWidth="1"/>
    <col min="13830" max="13830" width="4.140625" style="1940" customWidth="1"/>
    <col min="13831" max="13831" width="13.7109375" style="1940" customWidth="1"/>
    <col min="13832" max="13832" width="5.28515625" style="1940" customWidth="1"/>
    <col min="13833" max="13833" width="11" style="1940" customWidth="1"/>
    <col min="13834" max="13834" width="5.28515625" style="1940" customWidth="1"/>
    <col min="13835" max="13835" width="15.85546875" style="1940" customWidth="1"/>
    <col min="13836" max="13836" width="6.140625" style="1940" customWidth="1"/>
    <col min="13837" max="13837" width="13.85546875" style="1940" customWidth="1"/>
    <col min="13838" max="14074" width="16.7109375" style="1940"/>
    <col min="14075" max="14075" width="6.5703125" style="1940" customWidth="1"/>
    <col min="14076" max="14076" width="55" style="1940" customWidth="1"/>
    <col min="14077" max="14077" width="11" style="1940" customWidth="1"/>
    <col min="14078" max="14078" width="1.85546875" style="1940" customWidth="1"/>
    <col min="14079" max="14079" width="13.42578125" style="1940" customWidth="1"/>
    <col min="14080" max="14080" width="6.42578125" style="1940" customWidth="1"/>
    <col min="14081" max="14081" width="14" style="1940" customWidth="1"/>
    <col min="14082" max="14082" width="1.85546875" style="1940" customWidth="1"/>
    <col min="14083" max="14083" width="13.5703125" style="1940" customWidth="1"/>
    <col min="14084" max="14084" width="3.85546875" style="1940" customWidth="1"/>
    <col min="14085" max="14085" width="13.140625" style="1940" bestFit="1" customWidth="1"/>
    <col min="14086" max="14086" width="4.140625" style="1940" customWidth="1"/>
    <col min="14087" max="14087" width="13.7109375" style="1940" customWidth="1"/>
    <col min="14088" max="14088" width="5.28515625" style="1940" customWidth="1"/>
    <col min="14089" max="14089" width="11" style="1940" customWidth="1"/>
    <col min="14090" max="14090" width="5.28515625" style="1940" customWidth="1"/>
    <col min="14091" max="14091" width="15.85546875" style="1940" customWidth="1"/>
    <col min="14092" max="14092" width="6.140625" style="1940" customWidth="1"/>
    <col min="14093" max="14093" width="13.85546875" style="1940" customWidth="1"/>
    <col min="14094" max="14330" width="16.7109375" style="1940"/>
    <col min="14331" max="14331" width="6.5703125" style="1940" customWidth="1"/>
    <col min="14332" max="14332" width="55" style="1940" customWidth="1"/>
    <col min="14333" max="14333" width="11" style="1940" customWidth="1"/>
    <col min="14334" max="14334" width="1.85546875" style="1940" customWidth="1"/>
    <col min="14335" max="14335" width="13.42578125" style="1940" customWidth="1"/>
    <col min="14336" max="14336" width="6.42578125" style="1940" customWidth="1"/>
    <col min="14337" max="14337" width="14" style="1940" customWidth="1"/>
    <col min="14338" max="14338" width="1.85546875" style="1940" customWidth="1"/>
    <col min="14339" max="14339" width="13.5703125" style="1940" customWidth="1"/>
    <col min="14340" max="14340" width="3.85546875" style="1940" customWidth="1"/>
    <col min="14341" max="14341" width="13.140625" style="1940" bestFit="1" customWidth="1"/>
    <col min="14342" max="14342" width="4.140625" style="1940" customWidth="1"/>
    <col min="14343" max="14343" width="13.7109375" style="1940" customWidth="1"/>
    <col min="14344" max="14344" width="5.28515625" style="1940" customWidth="1"/>
    <col min="14345" max="14345" width="11" style="1940" customWidth="1"/>
    <col min="14346" max="14346" width="5.28515625" style="1940" customWidth="1"/>
    <col min="14347" max="14347" width="15.85546875" style="1940" customWidth="1"/>
    <col min="14348" max="14348" width="6.140625" style="1940" customWidth="1"/>
    <col min="14349" max="14349" width="13.85546875" style="1940" customWidth="1"/>
    <col min="14350" max="14586" width="16.7109375" style="1940"/>
    <col min="14587" max="14587" width="6.5703125" style="1940" customWidth="1"/>
    <col min="14588" max="14588" width="55" style="1940" customWidth="1"/>
    <col min="14589" max="14589" width="11" style="1940" customWidth="1"/>
    <col min="14590" max="14590" width="1.85546875" style="1940" customWidth="1"/>
    <col min="14591" max="14591" width="13.42578125" style="1940" customWidth="1"/>
    <col min="14592" max="14592" width="6.42578125" style="1940" customWidth="1"/>
    <col min="14593" max="14593" width="14" style="1940" customWidth="1"/>
    <col min="14594" max="14594" width="1.85546875" style="1940" customWidth="1"/>
    <col min="14595" max="14595" width="13.5703125" style="1940" customWidth="1"/>
    <col min="14596" max="14596" width="3.85546875" style="1940" customWidth="1"/>
    <col min="14597" max="14597" width="13.140625" style="1940" bestFit="1" customWidth="1"/>
    <col min="14598" max="14598" width="4.140625" style="1940" customWidth="1"/>
    <col min="14599" max="14599" width="13.7109375" style="1940" customWidth="1"/>
    <col min="14600" max="14600" width="5.28515625" style="1940" customWidth="1"/>
    <col min="14601" max="14601" width="11" style="1940" customWidth="1"/>
    <col min="14602" max="14602" width="5.28515625" style="1940" customWidth="1"/>
    <col min="14603" max="14603" width="15.85546875" style="1940" customWidth="1"/>
    <col min="14604" max="14604" width="6.140625" style="1940" customWidth="1"/>
    <col min="14605" max="14605" width="13.85546875" style="1940" customWidth="1"/>
    <col min="14606" max="14842" width="16.7109375" style="1940"/>
    <col min="14843" max="14843" width="6.5703125" style="1940" customWidth="1"/>
    <col min="14844" max="14844" width="55" style="1940" customWidth="1"/>
    <col min="14845" max="14845" width="11" style="1940" customWidth="1"/>
    <col min="14846" max="14846" width="1.85546875" style="1940" customWidth="1"/>
    <col min="14847" max="14847" width="13.42578125" style="1940" customWidth="1"/>
    <col min="14848" max="14848" width="6.42578125" style="1940" customWidth="1"/>
    <col min="14849" max="14849" width="14" style="1940" customWidth="1"/>
    <col min="14850" max="14850" width="1.85546875" style="1940" customWidth="1"/>
    <col min="14851" max="14851" width="13.5703125" style="1940" customWidth="1"/>
    <col min="14852" max="14852" width="3.85546875" style="1940" customWidth="1"/>
    <col min="14853" max="14853" width="13.140625" style="1940" bestFit="1" customWidth="1"/>
    <col min="14854" max="14854" width="4.140625" style="1940" customWidth="1"/>
    <col min="14855" max="14855" width="13.7109375" style="1940" customWidth="1"/>
    <col min="14856" max="14856" width="5.28515625" style="1940" customWidth="1"/>
    <col min="14857" max="14857" width="11" style="1940" customWidth="1"/>
    <col min="14858" max="14858" width="5.28515625" style="1940" customWidth="1"/>
    <col min="14859" max="14859" width="15.85546875" style="1940" customWidth="1"/>
    <col min="14860" max="14860" width="6.140625" style="1940" customWidth="1"/>
    <col min="14861" max="14861" width="13.85546875" style="1940" customWidth="1"/>
    <col min="14862" max="15098" width="16.7109375" style="1940"/>
    <col min="15099" max="15099" width="6.5703125" style="1940" customWidth="1"/>
    <col min="15100" max="15100" width="55" style="1940" customWidth="1"/>
    <col min="15101" max="15101" width="11" style="1940" customWidth="1"/>
    <col min="15102" max="15102" width="1.85546875" style="1940" customWidth="1"/>
    <col min="15103" max="15103" width="13.42578125" style="1940" customWidth="1"/>
    <col min="15104" max="15104" width="6.42578125" style="1940" customWidth="1"/>
    <col min="15105" max="15105" width="14" style="1940" customWidth="1"/>
    <col min="15106" max="15106" width="1.85546875" style="1940" customWidth="1"/>
    <col min="15107" max="15107" width="13.5703125" style="1940" customWidth="1"/>
    <col min="15108" max="15108" width="3.85546875" style="1940" customWidth="1"/>
    <col min="15109" max="15109" width="13.140625" style="1940" bestFit="1" customWidth="1"/>
    <col min="15110" max="15110" width="4.140625" style="1940" customWidth="1"/>
    <col min="15111" max="15111" width="13.7109375" style="1940" customWidth="1"/>
    <col min="15112" max="15112" width="5.28515625" style="1940" customWidth="1"/>
    <col min="15113" max="15113" width="11" style="1940" customWidth="1"/>
    <col min="15114" max="15114" width="5.28515625" style="1940" customWidth="1"/>
    <col min="15115" max="15115" width="15.85546875" style="1940" customWidth="1"/>
    <col min="15116" max="15116" width="6.140625" style="1940" customWidth="1"/>
    <col min="15117" max="15117" width="13.85546875" style="1940" customWidth="1"/>
    <col min="15118" max="15354" width="16.7109375" style="1940"/>
    <col min="15355" max="15355" width="6.5703125" style="1940" customWidth="1"/>
    <col min="15356" max="15356" width="55" style="1940" customWidth="1"/>
    <col min="15357" max="15357" width="11" style="1940" customWidth="1"/>
    <col min="15358" max="15358" width="1.85546875" style="1940" customWidth="1"/>
    <col min="15359" max="15359" width="13.42578125" style="1940" customWidth="1"/>
    <col min="15360" max="15360" width="6.42578125" style="1940" customWidth="1"/>
    <col min="15361" max="15361" width="14" style="1940" customWidth="1"/>
    <col min="15362" max="15362" width="1.85546875" style="1940" customWidth="1"/>
    <col min="15363" max="15363" width="13.5703125" style="1940" customWidth="1"/>
    <col min="15364" max="15364" width="3.85546875" style="1940" customWidth="1"/>
    <col min="15365" max="15365" width="13.140625" style="1940" bestFit="1" customWidth="1"/>
    <col min="15366" max="15366" width="4.140625" style="1940" customWidth="1"/>
    <col min="15367" max="15367" width="13.7109375" style="1940" customWidth="1"/>
    <col min="15368" max="15368" width="5.28515625" style="1940" customWidth="1"/>
    <col min="15369" max="15369" width="11" style="1940" customWidth="1"/>
    <col min="15370" max="15370" width="5.28515625" style="1940" customWidth="1"/>
    <col min="15371" max="15371" width="15.85546875" style="1940" customWidth="1"/>
    <col min="15372" max="15372" width="6.140625" style="1940" customWidth="1"/>
    <col min="15373" max="15373" width="13.85546875" style="1940" customWidth="1"/>
    <col min="15374" max="15610" width="16.7109375" style="1940"/>
    <col min="15611" max="15611" width="6.5703125" style="1940" customWidth="1"/>
    <col min="15612" max="15612" width="55" style="1940" customWidth="1"/>
    <col min="15613" max="15613" width="11" style="1940" customWidth="1"/>
    <col min="15614" max="15614" width="1.85546875" style="1940" customWidth="1"/>
    <col min="15615" max="15615" width="13.42578125" style="1940" customWidth="1"/>
    <col min="15616" max="15616" width="6.42578125" style="1940" customWidth="1"/>
    <col min="15617" max="15617" width="14" style="1940" customWidth="1"/>
    <col min="15618" max="15618" width="1.85546875" style="1940" customWidth="1"/>
    <col min="15619" max="15619" width="13.5703125" style="1940" customWidth="1"/>
    <col min="15620" max="15620" width="3.85546875" style="1940" customWidth="1"/>
    <col min="15621" max="15621" width="13.140625" style="1940" bestFit="1" customWidth="1"/>
    <col min="15622" max="15622" width="4.140625" style="1940" customWidth="1"/>
    <col min="15623" max="15623" width="13.7109375" style="1940" customWidth="1"/>
    <col min="15624" max="15624" width="5.28515625" style="1940" customWidth="1"/>
    <col min="15625" max="15625" width="11" style="1940" customWidth="1"/>
    <col min="15626" max="15626" width="5.28515625" style="1940" customWidth="1"/>
    <col min="15627" max="15627" width="15.85546875" style="1940" customWidth="1"/>
    <col min="15628" max="15628" width="6.140625" style="1940" customWidth="1"/>
    <col min="15629" max="15629" width="13.85546875" style="1940" customWidth="1"/>
    <col min="15630" max="15866" width="16.7109375" style="1940"/>
    <col min="15867" max="15867" width="6.5703125" style="1940" customWidth="1"/>
    <col min="15868" max="15868" width="55" style="1940" customWidth="1"/>
    <col min="15869" max="15869" width="11" style="1940" customWidth="1"/>
    <col min="15870" max="15870" width="1.85546875" style="1940" customWidth="1"/>
    <col min="15871" max="15871" width="13.42578125" style="1940" customWidth="1"/>
    <col min="15872" max="15872" width="6.42578125" style="1940" customWidth="1"/>
    <col min="15873" max="15873" width="14" style="1940" customWidth="1"/>
    <col min="15874" max="15874" width="1.85546875" style="1940" customWidth="1"/>
    <col min="15875" max="15875" width="13.5703125" style="1940" customWidth="1"/>
    <col min="15876" max="15876" width="3.85546875" style="1940" customWidth="1"/>
    <col min="15877" max="15877" width="13.140625" style="1940" bestFit="1" customWidth="1"/>
    <col min="15878" max="15878" width="4.140625" style="1940" customWidth="1"/>
    <col min="15879" max="15879" width="13.7109375" style="1940" customWidth="1"/>
    <col min="15880" max="15880" width="5.28515625" style="1940" customWidth="1"/>
    <col min="15881" max="15881" width="11" style="1940" customWidth="1"/>
    <col min="15882" max="15882" width="5.28515625" style="1940" customWidth="1"/>
    <col min="15883" max="15883" width="15.85546875" style="1940" customWidth="1"/>
    <col min="15884" max="15884" width="6.140625" style="1940" customWidth="1"/>
    <col min="15885" max="15885" width="13.85546875" style="1940" customWidth="1"/>
    <col min="15886" max="16122" width="16.7109375" style="1940"/>
    <col min="16123" max="16123" width="6.5703125" style="1940" customWidth="1"/>
    <col min="16124" max="16124" width="55" style="1940" customWidth="1"/>
    <col min="16125" max="16125" width="11" style="1940" customWidth="1"/>
    <col min="16126" max="16126" width="1.85546875" style="1940" customWidth="1"/>
    <col min="16127" max="16127" width="13.42578125" style="1940" customWidth="1"/>
    <col min="16128" max="16128" width="6.42578125" style="1940" customWidth="1"/>
    <col min="16129" max="16129" width="14" style="1940" customWidth="1"/>
    <col min="16130" max="16130" width="1.85546875" style="1940" customWidth="1"/>
    <col min="16131" max="16131" width="13.5703125" style="1940" customWidth="1"/>
    <col min="16132" max="16132" width="3.85546875" style="1940" customWidth="1"/>
    <col min="16133" max="16133" width="13.140625" style="1940" bestFit="1" customWidth="1"/>
    <col min="16134" max="16134" width="4.140625" style="1940" customWidth="1"/>
    <col min="16135" max="16135" width="13.7109375" style="1940" customWidth="1"/>
    <col min="16136" max="16136" width="5.28515625" style="1940" customWidth="1"/>
    <col min="16137" max="16137" width="11" style="1940" customWidth="1"/>
    <col min="16138" max="16138" width="5.28515625" style="1940" customWidth="1"/>
    <col min="16139" max="16139" width="15.85546875" style="1940" customWidth="1"/>
    <col min="16140" max="16140" width="6.140625" style="1940" customWidth="1"/>
    <col min="16141" max="16141" width="13.85546875" style="1940" customWidth="1"/>
    <col min="16142" max="16384" width="16.7109375" style="1940"/>
  </cols>
  <sheetData>
    <row r="1" spans="1:19" s="1944" customFormat="1" hidden="1" x14ac:dyDescent="0.15">
      <c r="A1" s="1939"/>
      <c r="B1" s="1940"/>
      <c r="C1" s="1940"/>
      <c r="D1" s="1940"/>
      <c r="E1" s="1940"/>
      <c r="F1" s="1941"/>
      <c r="G1" s="1940"/>
      <c r="H1" s="1940"/>
      <c r="I1" s="1940"/>
      <c r="J1" s="1941"/>
      <c r="K1" s="1940"/>
      <c r="L1" s="1940"/>
      <c r="M1" s="1942"/>
      <c r="N1" s="1942"/>
      <c r="O1" s="1942"/>
      <c r="P1" s="1943"/>
      <c r="Q1" s="1942"/>
      <c r="R1" s="1942"/>
    </row>
    <row r="2" spans="1:19" hidden="1" x14ac:dyDescent="0.2">
      <c r="M2" s="1942"/>
      <c r="N2" s="1942"/>
      <c r="O2" s="1942"/>
      <c r="P2" s="1943"/>
      <c r="Q2" s="1942"/>
      <c r="R2" s="1942"/>
      <c r="S2" s="1945"/>
    </row>
    <row r="3" spans="1:19" hidden="1" x14ac:dyDescent="0.2">
      <c r="M3" s="1942"/>
      <c r="N3" s="1942"/>
      <c r="O3" s="1942"/>
      <c r="P3" s="1943"/>
      <c r="Q3" s="1942"/>
      <c r="R3" s="1942"/>
      <c r="S3" s="1945"/>
    </row>
    <row r="4" spans="1:19" ht="15.75" x14ac:dyDescent="0.2">
      <c r="A4" s="2539" t="s">
        <v>2073</v>
      </c>
      <c r="B4" s="2539"/>
      <c r="C4" s="2539"/>
      <c r="D4" s="2539"/>
      <c r="E4" s="2539"/>
      <c r="F4" s="2539"/>
      <c r="G4" s="2539"/>
      <c r="H4" s="2539"/>
      <c r="I4" s="2539"/>
      <c r="J4" s="2539"/>
      <c r="K4" s="2539"/>
      <c r="L4" s="2539"/>
      <c r="M4" s="2539"/>
      <c r="N4" s="2539"/>
      <c r="O4" s="2539"/>
      <c r="P4" s="2539"/>
      <c r="Q4" s="2539"/>
      <c r="R4" s="2539"/>
      <c r="S4" s="2539"/>
    </row>
    <row r="5" spans="1:19" ht="15.75" x14ac:dyDescent="0.2">
      <c r="A5" s="2539" t="s">
        <v>2100</v>
      </c>
      <c r="B5" s="2539"/>
      <c r="C5" s="2539"/>
      <c r="D5" s="2539"/>
      <c r="E5" s="2539"/>
      <c r="F5" s="2539"/>
      <c r="G5" s="2539"/>
      <c r="H5" s="2539"/>
      <c r="I5" s="2539"/>
      <c r="J5" s="2539"/>
      <c r="K5" s="2539"/>
      <c r="L5" s="2539"/>
      <c r="M5" s="2539"/>
      <c r="N5" s="2539"/>
      <c r="O5" s="2539"/>
      <c r="P5" s="2539"/>
      <c r="Q5" s="2539"/>
      <c r="R5" s="2539"/>
      <c r="S5" s="2539"/>
    </row>
    <row r="6" spans="1:19" ht="15.75" x14ac:dyDescent="0.2">
      <c r="A6" s="2539" t="s">
        <v>1219</v>
      </c>
      <c r="B6" s="2539"/>
      <c r="C6" s="2539"/>
      <c r="D6" s="2539"/>
      <c r="E6" s="2539"/>
      <c r="F6" s="2539"/>
      <c r="G6" s="2539"/>
      <c r="H6" s="2539"/>
      <c r="I6" s="2539"/>
      <c r="J6" s="2539"/>
      <c r="K6" s="2539"/>
      <c r="L6" s="2539"/>
      <c r="M6" s="2539"/>
      <c r="N6" s="2539"/>
      <c r="O6" s="2539"/>
      <c r="P6" s="2539"/>
      <c r="Q6" s="2539"/>
      <c r="R6" s="2539"/>
      <c r="S6" s="2539"/>
    </row>
    <row r="7" spans="1:19" ht="12.75" customHeight="1" x14ac:dyDescent="0.2">
      <c r="A7" s="2540" t="s">
        <v>2101</v>
      </c>
      <c r="B7" s="2540"/>
      <c r="C7" s="2540"/>
      <c r="D7" s="2540"/>
      <c r="E7" s="2540"/>
      <c r="F7" s="2540"/>
      <c r="G7" s="2540"/>
      <c r="H7" s="2540"/>
      <c r="I7" s="2540"/>
      <c r="J7" s="2540"/>
      <c r="K7" s="2540"/>
      <c r="L7" s="2540"/>
      <c r="M7" s="2540"/>
      <c r="N7" s="2540"/>
      <c r="O7" s="2540"/>
      <c r="P7" s="2540"/>
      <c r="Q7" s="2540"/>
      <c r="R7" s="2540"/>
      <c r="S7" s="2540"/>
    </row>
    <row r="8" spans="1:19" x14ac:dyDescent="0.2">
      <c r="A8" s="1947"/>
      <c r="B8" s="1947"/>
      <c r="C8" s="1947"/>
      <c r="D8" s="1947"/>
      <c r="E8" s="1947"/>
      <c r="F8" s="1947"/>
      <c r="G8" s="1948"/>
      <c r="H8" s="1946"/>
      <c r="I8" s="1948"/>
      <c r="J8" s="1949"/>
      <c r="K8" s="1948"/>
      <c r="L8" s="1946"/>
      <c r="M8" s="1942"/>
      <c r="N8" s="1942"/>
      <c r="O8" s="1942"/>
      <c r="P8" s="1943"/>
      <c r="Q8" s="1942"/>
      <c r="R8" s="1942"/>
      <c r="S8" s="1943"/>
    </row>
    <row r="9" spans="1:19" x14ac:dyDescent="0.2">
      <c r="A9" s="1947"/>
      <c r="B9" s="1947" t="s">
        <v>1169</v>
      </c>
      <c r="C9" s="1947"/>
      <c r="D9" s="1947"/>
      <c r="E9" s="1947"/>
      <c r="F9" s="1947"/>
      <c r="G9" s="1948"/>
      <c r="H9" s="1946"/>
      <c r="I9" s="1948"/>
      <c r="J9" s="1949"/>
      <c r="K9" s="1948"/>
      <c r="L9" s="1946"/>
      <c r="M9" s="1946"/>
      <c r="N9" s="1946"/>
      <c r="O9" s="1946"/>
      <c r="P9" s="1949"/>
      <c r="Q9" s="1946"/>
      <c r="R9" s="1946"/>
      <c r="S9" s="1949"/>
    </row>
    <row r="10" spans="1:19" s="1954" customFormat="1" ht="15" x14ac:dyDescent="0.2">
      <c r="A10" s="1950"/>
      <c r="B10" s="1951"/>
      <c r="C10" s="1952"/>
      <c r="D10" s="1952"/>
      <c r="E10" s="1950" t="s">
        <v>2102</v>
      </c>
      <c r="F10" s="1950"/>
      <c r="G10" s="1953" t="s">
        <v>2103</v>
      </c>
      <c r="H10" s="1953"/>
      <c r="I10" s="1953"/>
      <c r="J10" s="1950"/>
      <c r="K10" s="1953" t="s">
        <v>2104</v>
      </c>
      <c r="L10" s="1953"/>
      <c r="M10" s="1953"/>
      <c r="N10" s="1952"/>
      <c r="O10" s="1952"/>
      <c r="P10" s="1950"/>
      <c r="Q10" s="1952"/>
      <c r="R10" s="1952"/>
      <c r="S10" s="1950"/>
    </row>
    <row r="11" spans="1:19" s="1954" customFormat="1" ht="15" x14ac:dyDescent="0.2">
      <c r="A11" s="1955"/>
      <c r="B11" s="1956"/>
      <c r="C11" s="1955" t="s">
        <v>1264</v>
      </c>
      <c r="D11" s="1957"/>
      <c r="E11" s="1955" t="s">
        <v>2105</v>
      </c>
      <c r="F11" s="1955"/>
      <c r="G11" s="1955" t="s">
        <v>2106</v>
      </c>
      <c r="H11" s="1957"/>
      <c r="I11" s="1958" t="s">
        <v>2107</v>
      </c>
      <c r="J11" s="1955"/>
      <c r="K11" s="1955" t="s">
        <v>2106</v>
      </c>
      <c r="L11" s="1957"/>
      <c r="M11" s="1958" t="str">
        <f>I11</f>
        <v>7/01/18-</v>
      </c>
      <c r="N11" s="1957"/>
      <c r="O11" s="1955" t="s">
        <v>1261</v>
      </c>
      <c r="P11" s="1955"/>
      <c r="Q11" s="1955" t="s">
        <v>2108</v>
      </c>
      <c r="R11" s="1957"/>
      <c r="S11" s="1955" t="s">
        <v>1169</v>
      </c>
    </row>
    <row r="12" spans="1:19" s="1954" customFormat="1" ht="15" x14ac:dyDescent="0.2">
      <c r="A12" s="1956" t="s">
        <v>2109</v>
      </c>
      <c r="B12" s="1956"/>
      <c r="C12" s="1955" t="s">
        <v>2110</v>
      </c>
      <c r="D12" s="1957"/>
      <c r="E12" s="1955" t="s">
        <v>2110</v>
      </c>
      <c r="F12" s="1955"/>
      <c r="G12" s="1959" t="s">
        <v>2111</v>
      </c>
      <c r="H12" s="1957"/>
      <c r="I12" s="1959" t="s">
        <v>2112</v>
      </c>
      <c r="J12" s="1955"/>
      <c r="K12" s="1959" t="str">
        <f>G12</f>
        <v>6/30/18</v>
      </c>
      <c r="L12" s="1957"/>
      <c r="M12" s="1959" t="str">
        <f>I12</f>
        <v>6/30/19</v>
      </c>
      <c r="N12" s="1957"/>
      <c r="O12" s="1955" t="s">
        <v>2113</v>
      </c>
      <c r="P12" s="1955"/>
      <c r="Q12" s="1955" t="s">
        <v>1257</v>
      </c>
      <c r="R12" s="1957"/>
      <c r="S12" s="1955" t="s">
        <v>30</v>
      </c>
    </row>
    <row r="13" spans="1:19" s="1954" customFormat="1" ht="15" x14ac:dyDescent="0.2">
      <c r="A13" s="1960" t="s">
        <v>2114</v>
      </c>
      <c r="B13" s="1957"/>
      <c r="C13" s="1961" t="s">
        <v>2115</v>
      </c>
      <c r="D13" s="1957"/>
      <c r="E13" s="1961" t="s">
        <v>2116</v>
      </c>
      <c r="F13" s="1955"/>
      <c r="G13" s="1962" t="s">
        <v>2117</v>
      </c>
      <c r="H13" s="1963"/>
      <c r="I13" s="1962" t="s">
        <v>2118</v>
      </c>
      <c r="J13" s="1964"/>
      <c r="K13" s="1962" t="s">
        <v>2119</v>
      </c>
      <c r="L13" s="1963"/>
      <c r="M13" s="1962" t="s">
        <v>2120</v>
      </c>
      <c r="N13" s="1963"/>
      <c r="O13" s="1962" t="s">
        <v>2121</v>
      </c>
      <c r="P13" s="1964"/>
      <c r="Q13" s="1962" t="s">
        <v>2122</v>
      </c>
      <c r="R13" s="1963"/>
      <c r="S13" s="1962" t="s">
        <v>2123</v>
      </c>
    </row>
    <row r="14" spans="1:19" s="1954" customFormat="1" ht="9" customHeight="1" x14ac:dyDescent="0.2">
      <c r="A14" s="1965"/>
      <c r="B14" s="1957"/>
      <c r="C14" s="1961"/>
      <c r="D14" s="1957"/>
      <c r="E14" s="1961"/>
      <c r="F14" s="1955"/>
      <c r="G14" s="1962"/>
      <c r="H14" s="1963"/>
      <c r="I14" s="1962"/>
      <c r="J14" s="1964"/>
      <c r="K14" s="1962"/>
      <c r="L14" s="1963"/>
      <c r="M14" s="1962" t="s">
        <v>1169</v>
      </c>
      <c r="N14" s="1963"/>
      <c r="O14" s="1962"/>
      <c r="P14" s="1964"/>
      <c r="Q14" s="1962"/>
      <c r="R14" s="1963"/>
      <c r="S14" s="1962"/>
    </row>
    <row r="15" spans="1:19" s="1954" customFormat="1" ht="15" x14ac:dyDescent="0.2">
      <c r="A15" s="1966" t="s">
        <v>2124</v>
      </c>
      <c r="B15" s="1957"/>
      <c r="C15" s="1961"/>
      <c r="D15" s="1957"/>
      <c r="E15" s="1961"/>
      <c r="F15" s="1955"/>
      <c r="G15" s="1962"/>
      <c r="H15" s="1963"/>
      <c r="I15" s="1962"/>
      <c r="J15" s="1964"/>
      <c r="K15" s="1962"/>
      <c r="L15" s="1963"/>
      <c r="M15" s="1962"/>
      <c r="N15" s="1963"/>
      <c r="O15" s="1962"/>
      <c r="P15" s="1964"/>
      <c r="Q15" s="1962"/>
      <c r="R15" s="1963"/>
      <c r="S15" s="1962"/>
    </row>
    <row r="16" spans="1:19" s="1954" customFormat="1" ht="15" x14ac:dyDescent="0.2">
      <c r="A16" s="1966" t="s">
        <v>2125</v>
      </c>
      <c r="B16" s="1957"/>
      <c r="C16" s="1961"/>
      <c r="D16" s="1957"/>
      <c r="E16" s="1961"/>
      <c r="F16" s="1955"/>
      <c r="G16" s="1962"/>
      <c r="H16" s="1963"/>
      <c r="I16" s="1962"/>
      <c r="J16" s="1964"/>
      <c r="K16" s="1962"/>
      <c r="L16" s="1963"/>
      <c r="M16" s="1962"/>
      <c r="N16" s="1963"/>
      <c r="O16" s="1962"/>
      <c r="P16" s="1964"/>
      <c r="Q16" s="1962"/>
      <c r="R16" s="1963"/>
      <c r="S16" s="1962"/>
    </row>
    <row r="17" spans="1:19" s="1954" customFormat="1" ht="15" x14ac:dyDescent="0.2">
      <c r="A17" s="1966" t="s">
        <v>2126</v>
      </c>
      <c r="B17" s="1957"/>
      <c r="C17" s="1961"/>
      <c r="D17" s="1957"/>
      <c r="E17" s="1961"/>
      <c r="F17" s="1955"/>
      <c r="G17" s="1962"/>
      <c r="H17" s="1963"/>
      <c r="I17" s="1962"/>
      <c r="J17" s="1964"/>
      <c r="K17" s="1962"/>
      <c r="L17" s="1963"/>
      <c r="M17" s="1962"/>
      <c r="N17" s="1963"/>
      <c r="O17" s="1962"/>
      <c r="P17" s="1964"/>
      <c r="Q17" s="1962"/>
      <c r="R17" s="1963"/>
      <c r="S17" s="1962"/>
    </row>
    <row r="18" spans="1:19" s="1954" customFormat="1" ht="15" x14ac:dyDescent="0.2">
      <c r="A18" s="1966"/>
      <c r="B18" s="1957"/>
      <c r="C18" s="1961"/>
      <c r="D18" s="1957"/>
      <c r="E18" s="1961"/>
      <c r="F18" s="1955"/>
      <c r="G18" s="1962"/>
      <c r="H18" s="1963"/>
      <c r="I18" s="1962"/>
      <c r="J18" s="1964"/>
      <c r="K18" s="1962"/>
      <c r="L18" s="1963"/>
      <c r="M18" s="1962"/>
      <c r="N18" s="1963"/>
      <c r="O18" s="1962"/>
      <c r="P18" s="1964"/>
      <c r="Q18" s="1962"/>
      <c r="R18" s="1963"/>
      <c r="S18" s="1962"/>
    </row>
    <row r="19" spans="1:19" s="1954" customFormat="1" ht="15" x14ac:dyDescent="0.2">
      <c r="A19" s="1966"/>
      <c r="B19" s="1957" t="s">
        <v>1058</v>
      </c>
      <c r="C19" s="1967" t="s">
        <v>2127</v>
      </c>
      <c r="D19" s="1957"/>
      <c r="E19" s="1955" t="s">
        <v>2128</v>
      </c>
      <c r="F19" s="1955"/>
      <c r="G19" s="1968">
        <v>21396</v>
      </c>
      <c r="H19" s="1963"/>
      <c r="I19" s="1969">
        <f>968+2607</f>
        <v>3575</v>
      </c>
      <c r="J19" s="1964"/>
      <c r="K19" s="1969">
        <v>21396</v>
      </c>
      <c r="L19" s="1963"/>
      <c r="M19" s="1969">
        <f>24971-21396</f>
        <v>3575</v>
      </c>
      <c r="N19" s="1963"/>
      <c r="O19" s="1962"/>
      <c r="P19" s="1964"/>
      <c r="Q19" s="1968">
        <f>+K19+M19</f>
        <v>24971</v>
      </c>
      <c r="R19" s="1963"/>
      <c r="S19" s="1970" t="s">
        <v>2129</v>
      </c>
    </row>
    <row r="20" spans="1:19" s="1954" customFormat="1" ht="15" x14ac:dyDescent="0.2">
      <c r="A20" s="1966"/>
      <c r="B20" s="1957" t="s">
        <v>1058</v>
      </c>
      <c r="C20" s="1967" t="s">
        <v>2127</v>
      </c>
      <c r="D20" s="1957"/>
      <c r="E20" s="1955" t="s">
        <v>2130</v>
      </c>
      <c r="F20" s="1955"/>
      <c r="G20" s="1971"/>
      <c r="H20" s="1963"/>
      <c r="I20" s="1971">
        <v>20232</v>
      </c>
      <c r="J20" s="1964"/>
      <c r="K20" s="1971"/>
      <c r="L20" s="1963"/>
      <c r="M20" s="1971">
        <v>20232</v>
      </c>
      <c r="N20" s="1963"/>
      <c r="O20" s="1971"/>
      <c r="P20" s="1972" t="s">
        <v>2131</v>
      </c>
      <c r="Q20" s="1973">
        <f>+K20+M20+O20</f>
        <v>20232</v>
      </c>
      <c r="R20" s="1963"/>
      <c r="S20" s="1964" t="s">
        <v>2129</v>
      </c>
    </row>
    <row r="21" spans="1:19" s="1954" customFormat="1" ht="15" x14ac:dyDescent="0.2">
      <c r="A21" s="1966"/>
      <c r="B21" s="1957"/>
      <c r="C21" s="1967"/>
      <c r="D21" s="1957"/>
      <c r="E21" s="1955"/>
      <c r="F21" s="1955"/>
      <c r="G21" s="1971"/>
      <c r="H21" s="1963"/>
      <c r="I21" s="1971"/>
      <c r="J21" s="1964"/>
      <c r="K21" s="1971"/>
      <c r="L21" s="1963"/>
      <c r="M21" s="1974"/>
      <c r="N21" s="1963"/>
      <c r="O21" s="1971"/>
      <c r="P21" s="1969"/>
      <c r="Q21" s="1973"/>
      <c r="R21" s="1963"/>
      <c r="S21" s="1964"/>
    </row>
    <row r="22" spans="1:19" s="1954" customFormat="1" ht="15" x14ac:dyDescent="0.2">
      <c r="A22" s="1966"/>
      <c r="B22" s="1957" t="s">
        <v>1059</v>
      </c>
      <c r="C22" s="1967">
        <v>10.553000000000001</v>
      </c>
      <c r="D22" s="1957"/>
      <c r="E22" s="1955" t="s">
        <v>2132</v>
      </c>
      <c r="F22" s="1955"/>
      <c r="G22" s="1971">
        <v>15151</v>
      </c>
      <c r="H22" s="1963"/>
      <c r="I22" s="1971">
        <f>474+1342</f>
        <v>1816</v>
      </c>
      <c r="J22" s="1964"/>
      <c r="K22" s="1971">
        <v>15151</v>
      </c>
      <c r="L22" s="1963"/>
      <c r="M22" s="1974">
        <v>1816</v>
      </c>
      <c r="N22" s="1963"/>
      <c r="O22" s="1971"/>
      <c r="Q22" s="1968">
        <f>+K22+M22</f>
        <v>16967</v>
      </c>
      <c r="R22" s="1963"/>
      <c r="S22" s="1964" t="s">
        <v>2129</v>
      </c>
    </row>
    <row r="23" spans="1:19" s="1954" customFormat="1" ht="15" x14ac:dyDescent="0.2">
      <c r="A23" s="1966"/>
      <c r="B23" s="1957" t="s">
        <v>1059</v>
      </c>
      <c r="C23" s="1967">
        <v>10.553000000000001</v>
      </c>
      <c r="D23" s="1957"/>
      <c r="E23" s="1955" t="s">
        <v>2133</v>
      </c>
      <c r="F23" s="1955"/>
      <c r="G23" s="1975"/>
      <c r="H23" s="1963"/>
      <c r="I23" s="1975">
        <v>10999</v>
      </c>
      <c r="J23" s="1964"/>
      <c r="K23" s="1975"/>
      <c r="L23" s="1963"/>
      <c r="M23" s="1975">
        <v>10999</v>
      </c>
      <c r="N23" s="1963"/>
      <c r="O23" s="1975"/>
      <c r="P23" s="1972" t="s">
        <v>2131</v>
      </c>
      <c r="Q23" s="1976">
        <f>+K23+M23+O23</f>
        <v>10999</v>
      </c>
      <c r="R23" s="1963"/>
      <c r="S23" s="1964" t="s">
        <v>2129</v>
      </c>
    </row>
    <row r="24" spans="1:19" s="1954" customFormat="1" ht="17.100000000000001" customHeight="1" x14ac:dyDescent="0.2">
      <c r="A24" s="1966" t="s">
        <v>2134</v>
      </c>
      <c r="B24" s="1957"/>
      <c r="C24" s="1967"/>
      <c r="D24" s="1957"/>
      <c r="E24" s="1955"/>
      <c r="F24" s="1955"/>
      <c r="G24" s="1975">
        <f>SUM(G19:G23)</f>
        <v>36547</v>
      </c>
      <c r="H24" s="1963"/>
      <c r="I24" s="1975">
        <f>SUM(I19:I23)</f>
        <v>36622</v>
      </c>
      <c r="J24" s="1964"/>
      <c r="K24" s="1975">
        <f>SUM(K19:K23)</f>
        <v>36547</v>
      </c>
      <c r="L24" s="1963"/>
      <c r="M24" s="1975">
        <f>SUM(M19:M23)</f>
        <v>36622</v>
      </c>
      <c r="N24" s="1963"/>
      <c r="O24" s="1975">
        <f>SUM(O19:O23)</f>
        <v>0</v>
      </c>
      <c r="P24" s="1964"/>
      <c r="Q24" s="1975">
        <f>SUM(Q19:Q23)</f>
        <v>73169</v>
      </c>
      <c r="R24" s="1963"/>
      <c r="S24" s="1964"/>
    </row>
    <row r="25" spans="1:19" s="1954" customFormat="1" ht="15" x14ac:dyDescent="0.2">
      <c r="A25" s="1965"/>
      <c r="B25" s="1957"/>
      <c r="C25" s="1961"/>
      <c r="D25" s="1957"/>
      <c r="E25" s="1961"/>
      <c r="F25" s="1955"/>
      <c r="G25" s="1962"/>
      <c r="H25" s="1963"/>
      <c r="I25" s="1962"/>
      <c r="J25" s="1964" t="s">
        <v>1169</v>
      </c>
      <c r="K25" s="1962"/>
      <c r="L25" s="1963"/>
      <c r="M25" s="1962"/>
      <c r="N25" s="1963"/>
      <c r="O25" s="1962"/>
      <c r="P25" s="1964"/>
      <c r="Q25" s="1962"/>
      <c r="R25" s="1963"/>
      <c r="S25" s="1962"/>
    </row>
    <row r="26" spans="1:19" s="1954" customFormat="1" ht="15" x14ac:dyDescent="0.2">
      <c r="A26" s="2536" t="s">
        <v>2135</v>
      </c>
      <c r="B26" s="2536"/>
      <c r="C26" s="1967" t="s">
        <v>1169</v>
      </c>
      <c r="D26" s="1957"/>
      <c r="E26" s="1956" t="s">
        <v>1169</v>
      </c>
      <c r="F26" s="1955"/>
      <c r="G26" s="1977"/>
      <c r="H26" s="1977"/>
      <c r="I26" s="1977"/>
      <c r="J26" s="1978"/>
      <c r="K26" s="1977"/>
      <c r="L26" s="1977"/>
      <c r="M26" s="1977">
        <v>0</v>
      </c>
      <c r="N26" s="1977"/>
      <c r="O26" s="1977"/>
      <c r="P26" s="1978"/>
      <c r="Q26" s="1979"/>
      <c r="R26" s="1977"/>
      <c r="S26" s="1978"/>
    </row>
    <row r="27" spans="1:19" s="1954" customFormat="1" ht="15" x14ac:dyDescent="0.2">
      <c r="A27" s="1966" t="s">
        <v>2136</v>
      </c>
      <c r="B27" s="1966"/>
      <c r="C27" s="1967"/>
      <c r="D27" s="1957"/>
      <c r="E27" s="1956" t="s">
        <v>1169</v>
      </c>
      <c r="F27" s="1955"/>
      <c r="G27" s="1977"/>
      <c r="H27" s="1977"/>
      <c r="I27" s="1977"/>
      <c r="J27" s="1978"/>
      <c r="K27" s="1977"/>
      <c r="L27" s="1977"/>
      <c r="M27" s="1977"/>
      <c r="N27" s="1977"/>
      <c r="O27" s="1977"/>
      <c r="P27" s="1978"/>
      <c r="Q27" s="1979"/>
      <c r="R27" s="1977"/>
      <c r="S27" s="1978"/>
    </row>
    <row r="28" spans="1:19" s="1954" customFormat="1" ht="15" x14ac:dyDescent="0.2">
      <c r="A28" s="1966" t="s">
        <v>2137</v>
      </c>
      <c r="B28" s="1966"/>
      <c r="C28" s="1967"/>
      <c r="D28" s="1957"/>
      <c r="E28" s="1956"/>
      <c r="F28" s="1955"/>
      <c r="G28" s="1977" t="s">
        <v>1169</v>
      </c>
      <c r="H28" s="1977"/>
      <c r="I28" s="1977"/>
      <c r="J28" s="1978"/>
      <c r="K28" s="1977"/>
      <c r="L28" s="1977"/>
      <c r="M28" s="1977"/>
      <c r="N28" s="1977"/>
      <c r="O28" s="1977"/>
      <c r="P28" s="1978"/>
      <c r="Q28" s="1979"/>
      <c r="R28" s="1977" t="s">
        <v>1169</v>
      </c>
      <c r="S28" s="1978"/>
    </row>
    <row r="29" spans="1:19" s="1954" customFormat="1" ht="15" x14ac:dyDescent="0.2">
      <c r="A29" s="1966"/>
      <c r="F29" s="1955"/>
      <c r="G29" s="1977"/>
      <c r="H29" s="1980"/>
      <c r="I29" s="1980"/>
      <c r="J29" s="1981"/>
      <c r="K29" s="1980"/>
      <c r="L29" s="1977"/>
      <c r="M29" s="1977"/>
      <c r="N29" s="1977"/>
      <c r="O29" s="1977"/>
      <c r="P29" s="1978"/>
      <c r="Q29" s="1979"/>
      <c r="R29" s="1977"/>
      <c r="S29" s="1978"/>
    </row>
    <row r="30" spans="1:19" s="1954" customFormat="1" ht="15" x14ac:dyDescent="0.2">
      <c r="A30" s="1982" t="s">
        <v>2138</v>
      </c>
      <c r="B30" s="1956" t="s">
        <v>2139</v>
      </c>
      <c r="C30" s="1967">
        <v>84.173000000000002</v>
      </c>
      <c r="D30" s="1957" t="s">
        <v>1169</v>
      </c>
      <c r="E30" s="1958" t="s">
        <v>2140</v>
      </c>
      <c r="F30" s="1955"/>
      <c r="G30" s="1980">
        <v>42846</v>
      </c>
      <c r="H30" s="1981"/>
      <c r="I30" s="1980">
        <f>19013+9212</f>
        <v>28225</v>
      </c>
      <c r="J30" s="1980"/>
      <c r="K30" s="1980">
        <v>61859</v>
      </c>
      <c r="L30" s="1983"/>
      <c r="M30" s="1980">
        <f>71071-61859</f>
        <v>9212</v>
      </c>
      <c r="N30" s="1968"/>
      <c r="O30" s="1980"/>
      <c r="P30" s="1981"/>
      <c r="Q30" s="1984">
        <f>+K30+M30+O30</f>
        <v>71071</v>
      </c>
      <c r="R30" s="1980"/>
      <c r="S30" s="1981">
        <v>71262</v>
      </c>
    </row>
    <row r="31" spans="1:19" s="1954" customFormat="1" ht="15" x14ac:dyDescent="0.2">
      <c r="A31" s="1982" t="s">
        <v>2138</v>
      </c>
      <c r="B31" s="1956" t="s">
        <v>2139</v>
      </c>
      <c r="C31" s="1967">
        <v>84.173000000000002</v>
      </c>
      <c r="D31" s="1957" t="s">
        <v>1169</v>
      </c>
      <c r="E31" s="1958" t="s">
        <v>2141</v>
      </c>
      <c r="F31" s="1982"/>
      <c r="G31" s="1980"/>
      <c r="H31" s="1980"/>
      <c r="I31" s="1980">
        <v>49842</v>
      </c>
      <c r="J31" s="1981"/>
      <c r="K31" s="1980"/>
      <c r="L31" s="1980"/>
      <c r="M31" s="1977">
        <v>87863</v>
      </c>
      <c r="N31" s="1983"/>
      <c r="O31" s="1980">
        <v>19725</v>
      </c>
      <c r="P31" s="1968"/>
      <c r="Q31" s="1985">
        <f>+K31+M31+O31</f>
        <v>107588</v>
      </c>
      <c r="R31" s="1980"/>
      <c r="S31" s="1981">
        <v>107588</v>
      </c>
    </row>
    <row r="32" spans="1:19" s="1954" customFormat="1" ht="15" hidden="1" x14ac:dyDescent="0.2">
      <c r="A32" s="1982"/>
      <c r="B32" s="1956"/>
      <c r="C32" s="1967"/>
      <c r="D32" s="1957"/>
      <c r="E32" s="1958"/>
      <c r="F32" s="1982"/>
      <c r="G32" s="1980"/>
      <c r="H32" s="1980"/>
      <c r="I32" s="1980"/>
      <c r="J32" s="1981"/>
      <c r="K32" s="1980"/>
      <c r="L32" s="1980"/>
      <c r="M32" s="1980"/>
      <c r="N32" s="1983"/>
      <c r="O32" s="1980"/>
      <c r="P32" s="1968"/>
      <c r="Q32" s="1985"/>
      <c r="R32" s="1980"/>
      <c r="S32" s="1981"/>
    </row>
    <row r="33" spans="1:19" s="1954" customFormat="1" ht="15" x14ac:dyDescent="0.2">
      <c r="A33" s="1982"/>
      <c r="B33" s="1986"/>
      <c r="C33" s="1967"/>
      <c r="D33" s="1957"/>
      <c r="E33" s="1958"/>
      <c r="F33" s="1955"/>
      <c r="G33" s="1977"/>
      <c r="H33" s="1977"/>
      <c r="I33" s="1977"/>
      <c r="J33" s="1978"/>
      <c r="K33" s="1977"/>
      <c r="L33" s="1977"/>
      <c r="M33" s="1977"/>
      <c r="N33" s="1977"/>
      <c r="O33" s="1977"/>
      <c r="P33" s="1987"/>
      <c r="Q33" s="1988"/>
      <c r="R33" s="1977"/>
      <c r="S33" s="1978"/>
    </row>
    <row r="34" spans="1:19" s="1954" customFormat="1" ht="15" x14ac:dyDescent="0.2">
      <c r="A34" s="1982" t="s">
        <v>2138</v>
      </c>
      <c r="B34" s="1956" t="s">
        <v>2142</v>
      </c>
      <c r="C34" s="1967">
        <v>84.027000000000001</v>
      </c>
      <c r="D34" s="1957"/>
      <c r="E34" s="1955" t="s">
        <v>2143</v>
      </c>
      <c r="F34" s="1955"/>
      <c r="G34" s="1977">
        <v>877569</v>
      </c>
      <c r="H34" s="1977"/>
      <c r="I34" s="1977">
        <f>408956+162225</f>
        <v>571181</v>
      </c>
      <c r="J34" s="1978"/>
      <c r="K34" s="1977">
        <v>1286525</v>
      </c>
      <c r="L34" s="1977"/>
      <c r="M34" s="1977">
        <f>1448750-1286525</f>
        <v>162225</v>
      </c>
      <c r="N34" s="1977"/>
      <c r="O34" s="1977"/>
      <c r="P34" s="1987"/>
      <c r="Q34" s="1988">
        <f>SUM(K34:P34)</f>
        <v>1448750</v>
      </c>
      <c r="R34" s="1977"/>
      <c r="S34" s="1978">
        <v>1489938</v>
      </c>
    </row>
    <row r="35" spans="1:19" s="1954" customFormat="1" ht="17.25" x14ac:dyDescent="0.2">
      <c r="A35" s="1982" t="s">
        <v>2138</v>
      </c>
      <c r="B35" s="1956" t="s">
        <v>2142</v>
      </c>
      <c r="C35" s="1967">
        <v>84.027000000000001</v>
      </c>
      <c r="D35" s="1957"/>
      <c r="E35" s="1955" t="s">
        <v>2144</v>
      </c>
      <c r="F35" s="1982"/>
      <c r="G35" s="1989">
        <v>0</v>
      </c>
      <c r="H35" s="1977"/>
      <c r="I35" s="1989">
        <v>1006322</v>
      </c>
      <c r="J35" s="1978"/>
      <c r="K35" s="1989">
        <v>0</v>
      </c>
      <c r="L35" s="1977"/>
      <c r="M35" s="1989">
        <v>2224475</v>
      </c>
      <c r="N35" s="1977"/>
      <c r="O35" s="1989">
        <v>640374</v>
      </c>
      <c r="P35" s="1987"/>
      <c r="Q35" s="1989">
        <f>+K35+M35+O35</f>
        <v>2864849</v>
      </c>
      <c r="R35" s="1977"/>
      <c r="S35" s="1978">
        <v>2864849</v>
      </c>
    </row>
    <row r="36" spans="1:19" s="1954" customFormat="1" ht="17.25" hidden="1" x14ac:dyDescent="0.2">
      <c r="A36" s="1982" t="s">
        <v>2138</v>
      </c>
      <c r="B36" s="1956" t="s">
        <v>2145</v>
      </c>
      <c r="C36" s="1967">
        <v>84.027000000000001</v>
      </c>
      <c r="D36" s="1957"/>
      <c r="E36" s="1955" t="s">
        <v>2146</v>
      </c>
      <c r="F36" s="1955"/>
      <c r="G36" s="1989">
        <v>0</v>
      </c>
      <c r="H36" s="1977"/>
      <c r="I36" s="1990">
        <v>0</v>
      </c>
      <c r="J36" s="1978"/>
      <c r="K36" s="1989">
        <v>0</v>
      </c>
      <c r="L36" s="1977"/>
      <c r="M36" s="1990">
        <v>0</v>
      </c>
      <c r="N36" s="1991" t="s">
        <v>2131</v>
      </c>
      <c r="O36" s="1990">
        <v>0</v>
      </c>
      <c r="P36" s="1987"/>
      <c r="Q36" s="1992">
        <f>+K36+M36+O36</f>
        <v>0</v>
      </c>
      <c r="R36" s="1978"/>
      <c r="S36" s="1993"/>
    </row>
    <row r="37" spans="1:19" s="1954" customFormat="1" ht="10.5" customHeight="1" x14ac:dyDescent="0.2">
      <c r="A37" s="1982"/>
      <c r="B37" s="1957"/>
      <c r="C37" s="1967"/>
      <c r="D37" s="1957"/>
      <c r="E37" s="1958"/>
      <c r="F37" s="1955"/>
      <c r="G37" s="1977"/>
      <c r="H37" s="1977"/>
      <c r="I37" s="1977"/>
      <c r="J37" s="1978"/>
      <c r="K37" s="1977"/>
      <c r="L37" s="1977"/>
      <c r="M37" s="1977"/>
      <c r="N37" s="1977"/>
      <c r="O37" s="1977"/>
      <c r="P37" s="1978"/>
      <c r="Q37" s="1979"/>
      <c r="R37" s="1977"/>
      <c r="S37" s="1978"/>
    </row>
    <row r="38" spans="1:19" s="1954" customFormat="1" ht="10.5" customHeight="1" x14ac:dyDescent="0.2">
      <c r="A38" s="1982"/>
      <c r="B38" s="1957"/>
      <c r="C38" s="1967"/>
      <c r="D38" s="1957"/>
      <c r="E38" s="1958"/>
      <c r="F38" s="1955"/>
      <c r="G38" s="1977"/>
      <c r="H38" s="1977"/>
      <c r="I38" s="1977"/>
      <c r="J38" s="1978"/>
      <c r="K38" s="1977"/>
      <c r="L38" s="1977"/>
      <c r="M38" s="1977"/>
      <c r="N38" s="1977"/>
      <c r="O38" s="1977"/>
      <c r="P38" s="1978"/>
      <c r="Q38" s="1994"/>
      <c r="R38" s="1977"/>
      <c r="S38" s="1978"/>
    </row>
    <row r="39" spans="1:19" s="1954" customFormat="1" ht="12" hidden="1" customHeight="1" x14ac:dyDescent="0.2">
      <c r="A39" s="1982"/>
      <c r="B39" s="1957"/>
      <c r="C39" s="1967"/>
      <c r="D39" s="1957"/>
      <c r="E39" s="1957"/>
      <c r="F39" s="1955"/>
      <c r="G39" s="1994"/>
      <c r="H39" s="1992"/>
      <c r="I39" s="1994"/>
      <c r="J39" s="1992"/>
      <c r="K39" s="1994"/>
      <c r="L39" s="1992"/>
      <c r="M39" s="1994"/>
      <c r="N39" s="1992"/>
      <c r="O39" s="1994"/>
      <c r="P39" s="1992"/>
      <c r="Q39" s="1994"/>
      <c r="R39" s="1995"/>
      <c r="S39" s="1996"/>
    </row>
    <row r="40" spans="1:19" s="1954" customFormat="1" ht="17.100000000000001" customHeight="1" x14ac:dyDescent="0.2">
      <c r="A40" s="1966" t="s">
        <v>2147</v>
      </c>
      <c r="B40" s="1957"/>
      <c r="C40" s="1967"/>
      <c r="D40" s="1957"/>
      <c r="E40" s="1957"/>
      <c r="F40" s="1955"/>
      <c r="G40" s="1994">
        <f>+G30+G31+G34+G35</f>
        <v>920415</v>
      </c>
      <c r="H40" s="1994"/>
      <c r="I40" s="1994">
        <f>+I30+I31+I34+I35</f>
        <v>1655570</v>
      </c>
      <c r="J40" s="1994"/>
      <c r="K40" s="1994">
        <f>+K30+K31+K34+K35</f>
        <v>1348384</v>
      </c>
      <c r="L40" s="1994"/>
      <c r="M40" s="1994">
        <f>+M30+M31+M34+M35</f>
        <v>2483775</v>
      </c>
      <c r="N40" s="1994"/>
      <c r="O40" s="1994">
        <f>+O30+O31+O34+O35</f>
        <v>660099</v>
      </c>
      <c r="P40" s="1994"/>
      <c r="Q40" s="1994">
        <f>+Q30+Q31+Q34+Q35</f>
        <v>4492258</v>
      </c>
      <c r="R40" s="1994"/>
      <c r="S40" s="1978"/>
    </row>
    <row r="41" spans="1:19" s="1954" customFormat="1" ht="9.75" customHeight="1" x14ac:dyDescent="0.2">
      <c r="A41" s="1966"/>
      <c r="B41" s="1957"/>
      <c r="C41" s="1967"/>
      <c r="D41" s="1957"/>
      <c r="E41" s="1957"/>
      <c r="F41" s="1955"/>
      <c r="G41" s="1994"/>
      <c r="H41" s="1992"/>
      <c r="I41" s="1994"/>
      <c r="J41" s="1992"/>
      <c r="K41" s="1994"/>
      <c r="L41" s="1992"/>
      <c r="M41" s="1994"/>
      <c r="N41" s="1992"/>
      <c r="O41" s="1994"/>
      <c r="P41" s="1992"/>
      <c r="Q41" s="1994"/>
      <c r="R41" s="1995"/>
      <c r="S41" s="1997"/>
    </row>
    <row r="42" spans="1:19" s="1954" customFormat="1" ht="17.25" x14ac:dyDescent="0.2">
      <c r="A42" s="1966" t="s">
        <v>2148</v>
      </c>
      <c r="B42" s="1957"/>
      <c r="C42" s="1967"/>
      <c r="D42" s="1957"/>
      <c r="E42" s="1957"/>
      <c r="F42" s="1955"/>
      <c r="G42" s="1994">
        <f>+G40+G24</f>
        <v>956962</v>
      </c>
      <c r="H42" s="1992"/>
      <c r="I42" s="1994">
        <f>+I40+I24</f>
        <v>1692192</v>
      </c>
      <c r="J42" s="1992"/>
      <c r="K42" s="1994">
        <f>+K40+K24</f>
        <v>1384931</v>
      </c>
      <c r="L42" s="1992"/>
      <c r="M42" s="1994">
        <f>+M40+M24</f>
        <v>2520397</v>
      </c>
      <c r="N42" s="1992"/>
      <c r="O42" s="1994">
        <f>+O40+O24</f>
        <v>660099</v>
      </c>
      <c r="P42" s="1992"/>
      <c r="Q42" s="1994">
        <f>+Q40+Q24</f>
        <v>4565427</v>
      </c>
      <c r="R42" s="1995"/>
      <c r="S42" s="1997"/>
    </row>
    <row r="43" spans="1:19" s="1954" customFormat="1" ht="17.25" x14ac:dyDescent="0.2">
      <c r="A43" s="1982"/>
      <c r="B43" s="1957"/>
      <c r="C43" s="1967"/>
      <c r="D43" s="1957"/>
      <c r="E43" s="1957"/>
      <c r="F43" s="1955"/>
      <c r="G43" s="1994"/>
      <c r="H43" s="1992"/>
      <c r="I43" s="1994"/>
      <c r="J43" s="1992"/>
      <c r="K43" s="1994"/>
      <c r="L43" s="1992"/>
      <c r="M43" s="1994"/>
      <c r="N43" s="1992"/>
      <c r="P43" s="1992"/>
      <c r="Q43" s="1994"/>
      <c r="R43" s="1995"/>
      <c r="S43" s="1996"/>
    </row>
    <row r="44" spans="1:19" s="1954" customFormat="1" ht="17.25" x14ac:dyDescent="0.2">
      <c r="A44" s="1998" t="s">
        <v>2149</v>
      </c>
      <c r="C44" s="1967"/>
      <c r="D44" s="1957"/>
      <c r="E44" s="1957"/>
      <c r="F44" s="1955"/>
      <c r="G44" s="1992"/>
      <c r="H44" s="1992"/>
      <c r="I44" s="1992"/>
      <c r="J44" s="1992"/>
      <c r="K44" s="1999"/>
      <c r="L44" s="1992"/>
      <c r="M44" s="1992"/>
      <c r="N44" s="1992"/>
      <c r="O44" s="1992"/>
      <c r="P44" s="1992"/>
      <c r="Q44" s="1992"/>
      <c r="R44" s="1995"/>
      <c r="S44" s="2000"/>
    </row>
    <row r="45" spans="1:19" s="1954" customFormat="1" ht="17.25" x14ac:dyDescent="0.2">
      <c r="A45" s="1998" t="s">
        <v>2150</v>
      </c>
      <c r="C45" s="1967"/>
      <c r="D45" s="1957"/>
      <c r="E45" s="1957"/>
      <c r="F45" s="2001"/>
      <c r="G45" s="2002"/>
      <c r="H45" s="1992"/>
      <c r="I45" s="1999"/>
      <c r="J45" s="1992"/>
      <c r="K45" s="2003" t="s">
        <v>1169</v>
      </c>
      <c r="L45" s="1992"/>
      <c r="M45" s="2004"/>
      <c r="N45" s="1992"/>
      <c r="O45" s="2005"/>
      <c r="P45" s="1992"/>
      <c r="Q45" s="1992"/>
      <c r="R45" s="1995"/>
      <c r="S45" s="2000"/>
    </row>
    <row r="46" spans="1:19" s="1954" customFormat="1" ht="17.25" x14ac:dyDescent="0.2">
      <c r="A46" s="1998"/>
      <c r="C46" s="1967"/>
      <c r="D46" s="1957"/>
      <c r="E46" s="1957"/>
      <c r="F46" s="2001"/>
      <c r="G46" s="2002"/>
      <c r="H46" s="1992"/>
      <c r="I46" s="1999"/>
      <c r="J46" s="1992"/>
      <c r="K46" s="2003"/>
      <c r="L46" s="1992"/>
      <c r="M46" s="2004"/>
      <c r="N46" s="1992"/>
      <c r="O46" s="2005"/>
      <c r="P46" s="1992"/>
      <c r="Q46" s="1992"/>
      <c r="R46" s="1995"/>
      <c r="S46" s="2000"/>
    </row>
    <row r="47" spans="1:19" s="1954" customFormat="1" ht="15" x14ac:dyDescent="0.2">
      <c r="A47" s="1998"/>
      <c r="B47" s="1957" t="s">
        <v>2151</v>
      </c>
      <c r="C47" s="1967">
        <v>93.778000000000006</v>
      </c>
      <c r="D47" s="1957" t="s">
        <v>2152</v>
      </c>
      <c r="E47" s="1957"/>
      <c r="F47" s="1955"/>
      <c r="G47" s="1980">
        <v>52637</v>
      </c>
      <c r="H47" s="1980"/>
      <c r="I47" s="1977">
        <v>21352</v>
      </c>
      <c r="J47" s="1981"/>
      <c r="K47" s="1980">
        <v>77072</v>
      </c>
      <c r="L47" s="1980"/>
      <c r="M47" s="1977"/>
      <c r="N47" s="1980"/>
      <c r="O47" s="1980"/>
      <c r="P47" s="1981"/>
      <c r="Q47" s="1980">
        <f>+M47+O47+K47</f>
        <v>77072</v>
      </c>
      <c r="R47" s="1977"/>
      <c r="S47" s="1978" t="s">
        <v>2129</v>
      </c>
    </row>
    <row r="48" spans="1:19" s="1954" customFormat="1" ht="17.25" x14ac:dyDescent="0.2">
      <c r="A48" s="1998"/>
      <c r="B48" s="1957" t="s">
        <v>2151</v>
      </c>
      <c r="C48" s="1967">
        <v>93.778000000000006</v>
      </c>
      <c r="D48" s="1957" t="s">
        <v>2153</v>
      </c>
      <c r="E48" s="1957"/>
      <c r="F48" s="1955"/>
      <c r="G48" s="2006">
        <v>0</v>
      </c>
      <c r="H48" s="1980"/>
      <c r="I48" s="2006">
        <v>54766</v>
      </c>
      <c r="J48" s="1981"/>
      <c r="K48" s="2006">
        <v>0</v>
      </c>
      <c r="L48" s="1980"/>
      <c r="M48" s="2006">
        <v>69569</v>
      </c>
      <c r="N48" s="1980"/>
      <c r="O48" s="2006">
        <v>0</v>
      </c>
      <c r="P48" s="1981"/>
      <c r="Q48" s="2006">
        <f>+M48+O48+K48</f>
        <v>69569</v>
      </c>
      <c r="R48" s="1977"/>
      <c r="S48" s="1978" t="s">
        <v>2129</v>
      </c>
    </row>
    <row r="49" spans="1:19" s="1954" customFormat="1" ht="17.25" x14ac:dyDescent="0.2">
      <c r="A49" s="1998"/>
      <c r="B49" s="1957"/>
      <c r="C49" s="1967"/>
      <c r="D49" s="1957"/>
      <c r="E49" s="1957"/>
      <c r="F49" s="1955"/>
      <c r="G49" s="2007"/>
      <c r="H49" s="1977"/>
      <c r="I49" s="2007"/>
      <c r="J49" s="1978"/>
      <c r="K49" s="2007"/>
      <c r="L49" s="1977"/>
      <c r="M49" s="2007"/>
      <c r="N49" s="1977"/>
      <c r="O49" s="2007"/>
      <c r="P49" s="1978"/>
      <c r="Q49" s="2007"/>
      <c r="R49" s="1977"/>
      <c r="S49" s="1978"/>
    </row>
    <row r="50" spans="1:19" s="1954" customFormat="1" ht="17.25" x14ac:dyDescent="0.2">
      <c r="A50" s="1998" t="s">
        <v>2154</v>
      </c>
      <c r="B50" s="1957"/>
      <c r="C50" s="1967"/>
      <c r="D50" s="1957"/>
      <c r="E50" s="1957"/>
      <c r="F50" s="1955"/>
      <c r="G50" s="2007"/>
      <c r="H50" s="1977"/>
      <c r="I50" s="2007"/>
      <c r="J50" s="1978"/>
      <c r="K50" s="2007"/>
      <c r="L50" s="1977"/>
      <c r="M50" s="2007"/>
      <c r="N50" s="1977"/>
      <c r="O50" s="2007"/>
      <c r="P50" s="1978"/>
      <c r="Q50" s="2007"/>
      <c r="R50" s="1977"/>
      <c r="S50" s="1978"/>
    </row>
    <row r="51" spans="1:19" s="1954" customFormat="1" ht="17.25" x14ac:dyDescent="0.2">
      <c r="A51" s="1998" t="s">
        <v>2150</v>
      </c>
      <c r="B51" s="1957"/>
      <c r="C51" s="1967"/>
      <c r="D51" s="1957"/>
      <c r="E51" s="1957"/>
      <c r="F51" s="1955"/>
      <c r="G51" s="2007">
        <f>+G47+G48</f>
        <v>52637</v>
      </c>
      <c r="H51" s="1977"/>
      <c r="I51" s="2007">
        <f>+I47+I48</f>
        <v>76118</v>
      </c>
      <c r="J51" s="1978"/>
      <c r="K51" s="2007">
        <f>+K47+K48</f>
        <v>77072</v>
      </c>
      <c r="L51" s="1977"/>
      <c r="M51" s="2007">
        <f>+M47+M48</f>
        <v>69569</v>
      </c>
      <c r="N51" s="1977"/>
      <c r="O51" s="2007">
        <f>+O47+O48</f>
        <v>0</v>
      </c>
      <c r="P51" s="1978"/>
      <c r="Q51" s="2007">
        <f>+Q47+Q48</f>
        <v>146641</v>
      </c>
      <c r="R51" s="1977"/>
      <c r="S51" s="1978"/>
    </row>
    <row r="52" spans="1:19" s="1954" customFormat="1" ht="17.25" x14ac:dyDescent="0.2">
      <c r="A52" s="1998"/>
      <c r="B52" s="1957"/>
      <c r="C52" s="1967"/>
      <c r="D52" s="1957"/>
      <c r="E52" s="1957"/>
      <c r="F52" s="1955"/>
      <c r="G52" s="2007"/>
      <c r="H52" s="1977"/>
      <c r="I52" s="2007"/>
      <c r="J52" s="1978"/>
      <c r="K52" s="2007"/>
      <c r="L52" s="1977"/>
      <c r="M52" s="2007"/>
      <c r="N52" s="1977"/>
      <c r="O52" s="2007"/>
      <c r="P52" s="1978"/>
      <c r="Q52" s="2007"/>
      <c r="R52" s="1977"/>
      <c r="S52" s="1978"/>
    </row>
    <row r="53" spans="1:19" s="1954" customFormat="1" ht="17.25" x14ac:dyDescent="0.2">
      <c r="A53" s="1966" t="s">
        <v>2155</v>
      </c>
      <c r="B53" s="1957"/>
      <c r="C53" s="1967"/>
      <c r="E53" s="1954" t="s">
        <v>1169</v>
      </c>
      <c r="G53" s="1989">
        <f>+G51</f>
        <v>52637</v>
      </c>
      <c r="H53" s="1989"/>
      <c r="I53" s="1989">
        <f>+I51</f>
        <v>76118</v>
      </c>
      <c r="J53" s="1989"/>
      <c r="K53" s="1989">
        <f>+K51</f>
        <v>77072</v>
      </c>
      <c r="L53" s="1989"/>
      <c r="M53" s="1989">
        <f>+M51</f>
        <v>69569</v>
      </c>
      <c r="N53" s="1989"/>
      <c r="O53" s="1989">
        <f>+O51</f>
        <v>0</v>
      </c>
      <c r="P53" s="1989"/>
      <c r="Q53" s="1989">
        <f>+Q51</f>
        <v>146641</v>
      </c>
      <c r="R53" s="1977"/>
      <c r="S53" s="1978"/>
    </row>
    <row r="54" spans="1:19" s="1954" customFormat="1" ht="15" x14ac:dyDescent="0.2">
      <c r="D54" s="1957"/>
      <c r="E54" s="1957"/>
      <c r="F54" s="1955"/>
      <c r="G54" s="1977"/>
      <c r="H54" s="1977"/>
      <c r="I54" s="1977"/>
      <c r="J54" s="1978"/>
      <c r="K54" s="1977"/>
      <c r="L54" s="1977"/>
      <c r="M54" s="1977"/>
      <c r="N54" s="1977"/>
      <c r="O54" s="1977"/>
      <c r="P54" s="1978"/>
      <c r="Q54" s="1977"/>
      <c r="R54" s="1977"/>
      <c r="S54" s="1978"/>
    </row>
    <row r="55" spans="1:19" s="1954" customFormat="1" ht="17.25" x14ac:dyDescent="0.2">
      <c r="A55" s="1998" t="s">
        <v>2156</v>
      </c>
      <c r="C55" s="2008"/>
      <c r="D55" s="1957"/>
      <c r="E55" s="1957"/>
      <c r="F55" s="1955"/>
      <c r="G55" s="2009">
        <f>+G42+G53</f>
        <v>1009599</v>
      </c>
      <c r="H55" s="2009"/>
      <c r="I55" s="2009">
        <f>+I42+I53</f>
        <v>1768310</v>
      </c>
      <c r="J55" s="2009"/>
      <c r="K55" s="2009">
        <f>+K42+K53</f>
        <v>1462003</v>
      </c>
      <c r="L55" s="2009"/>
      <c r="M55" s="2009">
        <f>+M42+M53</f>
        <v>2589966</v>
      </c>
      <c r="N55" s="2009"/>
      <c r="O55" s="2009">
        <f>+O42+O53</f>
        <v>660099</v>
      </c>
      <c r="P55" s="2009"/>
      <c r="Q55" s="2009">
        <f>+Q42+Q53</f>
        <v>4712068</v>
      </c>
      <c r="R55" s="2010" t="s">
        <v>1169</v>
      </c>
      <c r="S55" s="2002"/>
    </row>
    <row r="56" spans="1:19" s="1954" customFormat="1" ht="17.25" x14ac:dyDescent="0.2">
      <c r="A56" s="1998"/>
      <c r="C56" s="2008"/>
      <c r="D56" s="1957"/>
      <c r="E56" s="1957"/>
      <c r="F56" s="1955"/>
      <c r="G56" s="2009"/>
      <c r="H56" s="2009"/>
      <c r="I56" s="2009"/>
      <c r="J56" s="2009"/>
      <c r="K56" s="2009"/>
      <c r="L56" s="2009"/>
      <c r="M56" s="2009"/>
      <c r="N56" s="2009"/>
      <c r="O56" s="2009"/>
      <c r="P56" s="2009"/>
      <c r="Q56" s="2009"/>
      <c r="R56" s="2010"/>
      <c r="S56" s="2002"/>
    </row>
    <row r="57" spans="1:19" s="1954" customFormat="1" ht="17.25" x14ac:dyDescent="0.2">
      <c r="A57" s="1998"/>
      <c r="C57" s="2008"/>
      <c r="D57" s="1957"/>
      <c r="E57" s="1957"/>
      <c r="F57" s="1955"/>
      <c r="G57" s="2009"/>
      <c r="H57" s="2009"/>
      <c r="I57" s="2009"/>
      <c r="J57" s="2009"/>
      <c r="K57" s="2009"/>
      <c r="L57" s="2009"/>
      <c r="M57" s="2009"/>
      <c r="N57" s="2009"/>
      <c r="O57" s="2009"/>
      <c r="P57" s="2009"/>
      <c r="Q57" s="2009"/>
      <c r="R57" s="2010"/>
      <c r="S57" s="2002"/>
    </row>
    <row r="58" spans="1:19" s="1954" customFormat="1" ht="15" x14ac:dyDescent="0.2">
      <c r="A58" s="1957" t="s">
        <v>2157</v>
      </c>
      <c r="B58" s="1957"/>
      <c r="C58" s="1957"/>
      <c r="D58" s="1957"/>
      <c r="E58" s="1957"/>
      <c r="F58" s="1955"/>
      <c r="G58" s="1977"/>
      <c r="H58" s="1977"/>
      <c r="I58" s="1977"/>
      <c r="J58" s="1978"/>
      <c r="K58" s="1977"/>
      <c r="L58" s="1977"/>
      <c r="M58" s="1977"/>
      <c r="N58" s="1977"/>
      <c r="O58" s="1977"/>
      <c r="P58" s="1978"/>
      <c r="Q58" s="1977"/>
      <c r="R58" s="1977"/>
      <c r="S58" s="1978"/>
    </row>
    <row r="59" spans="1:19" s="1954" customFormat="1" ht="15" hidden="1" x14ac:dyDescent="0.2">
      <c r="A59" s="1957"/>
      <c r="B59" s="1957"/>
      <c r="C59" s="1957"/>
      <c r="D59" s="1957"/>
      <c r="E59" s="1957"/>
      <c r="F59" s="1955"/>
      <c r="G59" s="1977"/>
      <c r="H59" s="1977"/>
      <c r="I59" s="1977"/>
      <c r="J59" s="1978"/>
      <c r="K59" s="1977"/>
      <c r="L59" s="1977"/>
      <c r="M59" s="1977"/>
      <c r="N59" s="1977"/>
      <c r="O59" s="1977"/>
      <c r="P59" s="1978"/>
      <c r="Q59" s="1977"/>
      <c r="R59" s="1977"/>
      <c r="S59" s="1978"/>
    </row>
    <row r="60" spans="1:19" s="1954" customFormat="1" ht="15" hidden="1" x14ac:dyDescent="0.2">
      <c r="A60" s="1956" t="s">
        <v>2158</v>
      </c>
      <c r="F60" s="2001"/>
      <c r="G60" s="2011"/>
      <c r="H60" s="2011"/>
      <c r="I60" s="2011"/>
      <c r="J60" s="2012"/>
      <c r="K60" s="2011"/>
      <c r="L60" s="2011"/>
      <c r="M60" s="2013" t="s">
        <v>1169</v>
      </c>
      <c r="N60" s="2011"/>
      <c r="O60" s="2011" t="s">
        <v>1169</v>
      </c>
      <c r="P60" s="2012"/>
      <c r="Q60" s="2011"/>
      <c r="R60" s="2011"/>
      <c r="S60" s="2012"/>
    </row>
    <row r="61" spans="1:19" s="1954" customFormat="1" ht="15" hidden="1" x14ac:dyDescent="0.2">
      <c r="A61" s="1955"/>
      <c r="B61" s="2014" t="s">
        <v>2159</v>
      </c>
      <c r="C61" s="2015"/>
      <c r="F61" s="2001"/>
      <c r="G61" s="2011"/>
      <c r="H61" s="2011"/>
      <c r="I61" s="2011"/>
      <c r="J61" s="2012"/>
      <c r="K61" s="2011"/>
      <c r="L61" s="2011"/>
      <c r="M61" s="2011" t="s">
        <v>1169</v>
      </c>
      <c r="N61" s="2011"/>
      <c r="O61" s="2011"/>
      <c r="P61" s="2012"/>
      <c r="Q61" s="2011"/>
      <c r="R61" s="2011"/>
      <c r="S61" s="2012"/>
    </row>
    <row r="62" spans="1:19" s="1954" customFormat="1" ht="15" hidden="1" x14ac:dyDescent="0.2">
      <c r="A62" s="1955"/>
      <c r="B62" s="1957"/>
      <c r="C62" s="2016"/>
      <c r="F62" s="2001"/>
      <c r="G62" s="2011"/>
      <c r="H62" s="2011"/>
      <c r="I62" s="2011"/>
      <c r="J62" s="2012"/>
      <c r="K62" s="2011"/>
      <c r="L62" s="2011"/>
      <c r="M62" s="2011"/>
      <c r="N62" s="2011"/>
      <c r="O62" s="2011"/>
      <c r="P62" s="2012"/>
      <c r="Q62" s="2011"/>
      <c r="R62" s="2011"/>
      <c r="S62" s="2012"/>
    </row>
    <row r="63" spans="1:19" s="1954" customFormat="1" ht="15" x14ac:dyDescent="0.2">
      <c r="A63" s="1986" t="s">
        <v>2160</v>
      </c>
      <c r="C63" s="2016"/>
      <c r="F63" s="2001"/>
      <c r="G63" s="2011"/>
      <c r="H63" s="2011"/>
      <c r="I63" s="2011"/>
      <c r="J63" s="2012"/>
      <c r="K63" s="2011"/>
      <c r="L63" s="2011"/>
      <c r="M63" s="2011"/>
      <c r="N63" s="2011"/>
      <c r="O63" s="2011"/>
      <c r="P63" s="2012"/>
      <c r="Q63" s="2011"/>
      <c r="R63" s="2011"/>
      <c r="S63" s="2012"/>
    </row>
    <row r="64" spans="1:19" x14ac:dyDescent="0.2">
      <c r="C64" s="2017"/>
      <c r="G64" s="2018"/>
      <c r="H64" s="2018"/>
      <c r="I64" s="2018"/>
      <c r="J64" s="2019"/>
      <c r="K64" s="2018"/>
      <c r="L64" s="2018"/>
      <c r="M64" s="2018"/>
      <c r="N64" s="2018"/>
      <c r="O64" s="2018"/>
      <c r="P64" s="2019"/>
      <c r="Q64" s="2018"/>
      <c r="R64" s="2018"/>
      <c r="S64" s="2019"/>
    </row>
    <row r="65" spans="1:19" x14ac:dyDescent="0.2">
      <c r="C65" s="2017"/>
      <c r="G65" s="2018"/>
      <c r="H65" s="2018"/>
      <c r="I65" s="2018"/>
      <c r="J65" s="2019"/>
      <c r="K65" s="2018"/>
      <c r="L65" s="2018"/>
      <c r="M65" s="2018"/>
      <c r="N65" s="2018"/>
      <c r="O65" s="2018"/>
      <c r="P65" s="2019"/>
      <c r="Q65" s="2018"/>
      <c r="R65" s="2018"/>
      <c r="S65" s="2019"/>
    </row>
    <row r="66" spans="1:19" x14ac:dyDescent="0.2">
      <c r="C66" s="2017"/>
      <c r="G66" s="2018"/>
      <c r="H66" s="2018"/>
      <c r="I66" s="2018"/>
      <c r="J66" s="2019"/>
      <c r="K66" s="2018"/>
      <c r="L66" s="2018"/>
      <c r="M66" s="2018"/>
      <c r="N66" s="2018"/>
      <c r="O66" s="2018"/>
      <c r="P66" s="2019"/>
      <c r="Q66" s="2018"/>
      <c r="R66" s="2018"/>
      <c r="S66" s="2019"/>
    </row>
    <row r="67" spans="1:19" s="2021" customFormat="1" x14ac:dyDescent="0.2">
      <c r="A67" s="2020"/>
      <c r="C67" s="2022"/>
      <c r="F67" s="2023"/>
      <c r="G67" s="2024"/>
      <c r="H67" s="2024"/>
      <c r="I67" s="2024"/>
      <c r="J67" s="2025"/>
      <c r="K67" s="2024"/>
      <c r="L67" s="2024"/>
      <c r="M67" s="2024"/>
      <c r="N67" s="2024"/>
      <c r="O67" s="2024"/>
      <c r="P67" s="2025"/>
      <c r="Q67" s="2024"/>
      <c r="R67" s="2024"/>
      <c r="S67" s="2025"/>
    </row>
    <row r="68" spans="1:19" s="2026" customFormat="1" ht="13.5" customHeight="1" x14ac:dyDescent="0.2">
      <c r="A68" s="2537" t="s">
        <v>2161</v>
      </c>
      <c r="B68" s="2537"/>
      <c r="C68" s="2537"/>
      <c r="D68" s="2537"/>
      <c r="E68" s="2537"/>
      <c r="F68" s="2537"/>
      <c r="G68" s="2537"/>
      <c r="H68" s="2537"/>
      <c r="I68" s="2537"/>
      <c r="J68" s="2537"/>
      <c r="K68" s="2537"/>
      <c r="L68" s="2537"/>
      <c r="M68" s="2537"/>
      <c r="S68" s="2027"/>
    </row>
    <row r="69" spans="1:19" s="2026" customFormat="1" ht="13.5" customHeight="1" x14ac:dyDescent="0.2">
      <c r="A69" s="2538" t="s">
        <v>2162</v>
      </c>
      <c r="B69" s="2538"/>
      <c r="C69" s="2538"/>
      <c r="D69" s="2538"/>
      <c r="E69" s="2538"/>
      <c r="F69" s="2538"/>
      <c r="G69" s="2538"/>
      <c r="H69" s="2538"/>
      <c r="I69" s="2538"/>
      <c r="J69" s="2538"/>
      <c r="K69" s="2538"/>
      <c r="L69" s="2538"/>
      <c r="M69" s="2538"/>
      <c r="S69" s="2027"/>
    </row>
    <row r="70" spans="1:19" s="2026" customFormat="1" ht="13.5" customHeight="1" x14ac:dyDescent="0.2">
      <c r="A70" s="2537" t="s">
        <v>2163</v>
      </c>
      <c r="B70" s="2537"/>
      <c r="C70" s="2537"/>
      <c r="D70" s="2537"/>
      <c r="E70" s="2537"/>
      <c r="F70" s="2537"/>
      <c r="G70" s="2537"/>
      <c r="H70" s="2537"/>
      <c r="I70" s="2537"/>
      <c r="J70" s="2537"/>
      <c r="K70" s="2537"/>
      <c r="L70" s="2537"/>
      <c r="M70" s="2537"/>
      <c r="S70" s="2027"/>
    </row>
    <row r="71" spans="1:19" s="2026" customFormat="1" ht="13.5" customHeight="1" x14ac:dyDescent="0.2">
      <c r="A71" s="2028" t="s">
        <v>2164</v>
      </c>
      <c r="B71" s="2028"/>
      <c r="C71" s="2028"/>
      <c r="D71" s="2028"/>
      <c r="E71" s="2028"/>
      <c r="F71" s="2028"/>
      <c r="G71" s="2028"/>
      <c r="H71" s="2028"/>
      <c r="I71" s="2028"/>
      <c r="J71" s="2028"/>
      <c r="K71" s="2028"/>
      <c r="L71" s="2028"/>
      <c r="M71" s="2028"/>
      <c r="S71" s="2027"/>
    </row>
    <row r="72" spans="1:19" s="2026" customFormat="1" ht="13.5" customHeight="1" x14ac:dyDescent="0.2">
      <c r="A72" s="2029" t="s">
        <v>2165</v>
      </c>
      <c r="B72" s="2030"/>
      <c r="C72" s="2031"/>
      <c r="D72" s="2032"/>
      <c r="E72" s="2032"/>
      <c r="F72" s="2032"/>
      <c r="G72" s="2032"/>
      <c r="H72" s="2032"/>
      <c r="I72" s="2032"/>
      <c r="J72" s="2032"/>
      <c r="S72" s="2027"/>
    </row>
    <row r="73" spans="1:19" s="2026" customFormat="1" ht="13.5" customHeight="1" x14ac:dyDescent="0.2">
      <c r="A73" s="2029" t="s">
        <v>2166</v>
      </c>
      <c r="B73" s="2030"/>
      <c r="C73" s="2031"/>
      <c r="D73" s="2032"/>
      <c r="E73" s="2032"/>
      <c r="F73" s="2032"/>
      <c r="G73" s="2032"/>
      <c r="H73" s="2032"/>
      <c r="I73" s="2032"/>
      <c r="J73" s="2032"/>
      <c r="S73" s="2027"/>
    </row>
    <row r="74" spans="1:19" s="2026" customFormat="1" ht="13.5" customHeight="1" x14ac:dyDescent="0.2">
      <c r="A74" s="2032" t="s">
        <v>2167</v>
      </c>
      <c r="B74" s="2033"/>
      <c r="C74" s="2034"/>
      <c r="S74" s="2027"/>
    </row>
    <row r="75" spans="1:19" s="2026" customFormat="1" ht="13.5" customHeight="1" x14ac:dyDescent="0.2">
      <c r="A75" s="2032" t="s">
        <v>2168</v>
      </c>
      <c r="B75" s="2033"/>
      <c r="C75" s="2034"/>
      <c r="S75" s="2027"/>
    </row>
    <row r="76" spans="1:19" s="2026" customFormat="1" ht="13.5" customHeight="1" x14ac:dyDescent="0.2">
      <c r="A76" s="2032" t="s">
        <v>2169</v>
      </c>
      <c r="B76" s="2033"/>
      <c r="C76" s="2034"/>
      <c r="S76" s="2027"/>
    </row>
    <row r="77" spans="1:19" s="2035" customFormat="1" ht="13.5" customHeight="1" x14ac:dyDescent="0.15">
      <c r="B77" s="2036"/>
      <c r="C77" s="2037"/>
      <c r="F77" s="2038"/>
      <c r="G77" s="2038"/>
      <c r="H77" s="2038"/>
      <c r="I77" s="2038"/>
      <c r="J77" s="2039"/>
      <c r="S77" s="2038"/>
    </row>
  </sheetData>
  <mergeCells count="8">
    <mergeCell ref="A26:B26"/>
    <mergeCell ref="A68:M68"/>
    <mergeCell ref="A69:M69"/>
    <mergeCell ref="A70:M70"/>
    <mergeCell ref="A4:S4"/>
    <mergeCell ref="A5:S5"/>
    <mergeCell ref="A6:S6"/>
    <mergeCell ref="A7:S7"/>
  </mergeCells>
  <printOptions gridLinesSet="0"/>
  <pageMargins left="0.25" right="0.25" top="0.5" bottom="0" header="0.5" footer="0"/>
  <pageSetup scale="60" orientation="landscape" r:id="rId1"/>
  <headerFooter alignWithMargins="0">
    <oddFooter xml:space="preserve">&amp;L&amp;"Times New Roman,Regular"See accompanying notes to the Schedule of Expenditures of Federal Awards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6"/>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542" t="s">
        <v>2073</v>
      </c>
      <c r="B1" s="2542"/>
      <c r="C1" s="2542"/>
      <c r="D1" s="2542"/>
      <c r="E1" s="2542"/>
      <c r="F1" s="2542"/>
    </row>
    <row r="2" spans="1:7" ht="13.5" customHeight="1" x14ac:dyDescent="0.2">
      <c r="A2" s="2533" t="s">
        <v>2071</v>
      </c>
      <c r="B2" s="2533"/>
      <c r="C2" s="2533"/>
      <c r="D2" s="2533"/>
      <c r="E2" s="2533"/>
      <c r="F2" s="2533"/>
      <c r="G2" s="1269"/>
    </row>
    <row r="3" spans="1:7" ht="15.95" customHeight="1" x14ac:dyDescent="0.2">
      <c r="A3" s="2543" t="s">
        <v>1271</v>
      </c>
      <c r="B3" s="2543"/>
      <c r="C3" s="2543"/>
      <c r="D3" s="2543"/>
      <c r="E3" s="2543"/>
      <c r="F3" s="2543"/>
    </row>
    <row r="4" spans="1:7" ht="13.5" customHeight="1" x14ac:dyDescent="0.2">
      <c r="A4" s="2544" t="str">
        <f>'Single Audit Cover'!A4</f>
        <v>Year Ending June 30, 2019</v>
      </c>
      <c r="B4" s="2544"/>
      <c r="C4" s="2544"/>
      <c r="D4" s="2544"/>
      <c r="E4" s="2544"/>
      <c r="F4" s="2544"/>
    </row>
    <row r="5" spans="1:7" ht="8.25" customHeight="1" x14ac:dyDescent="0.2">
      <c r="C5" s="317"/>
      <c r="D5" s="317"/>
    </row>
    <row r="6" spans="1:7" ht="13.5" customHeight="1" x14ac:dyDescent="0.2">
      <c r="A6" s="1270" t="s">
        <v>1728</v>
      </c>
      <c r="C6" s="317"/>
      <c r="D6" s="317"/>
    </row>
    <row r="7" spans="1:7" ht="60.95" customHeight="1" x14ac:dyDescent="0.2">
      <c r="A7" s="2541" t="s">
        <v>2084</v>
      </c>
      <c r="B7" s="2541"/>
      <c r="C7" s="2541"/>
      <c r="D7" s="2541"/>
      <c r="E7" s="2541"/>
      <c r="F7" s="2541"/>
    </row>
    <row r="8" spans="1:7" ht="12" customHeight="1" x14ac:dyDescent="0.2">
      <c r="A8" s="1270"/>
      <c r="B8" s="1276"/>
      <c r="C8" s="1276"/>
      <c r="D8" s="1276"/>
    </row>
    <row r="9" spans="1:7" ht="15" customHeight="1" x14ac:dyDescent="0.2">
      <c r="A9" s="1271" t="s">
        <v>1729</v>
      </c>
      <c r="B9" s="1274"/>
      <c r="C9" s="1274"/>
      <c r="D9" s="1274"/>
      <c r="E9" s="1272"/>
      <c r="F9" s="1272"/>
      <c r="G9" s="1272"/>
    </row>
    <row r="10" spans="1:7" ht="15" customHeight="1" x14ac:dyDescent="0.2">
      <c r="A10" s="1273" t="s">
        <v>1547</v>
      </c>
      <c r="B10" s="1274"/>
      <c r="C10" s="1275"/>
      <c r="D10" s="1274" t="s">
        <v>1548</v>
      </c>
      <c r="E10" s="1275" t="s">
        <v>2070</v>
      </c>
      <c r="F10" s="1274" t="s">
        <v>99</v>
      </c>
      <c r="G10" s="1272"/>
    </row>
    <row r="11" spans="1:7" ht="12" customHeight="1" x14ac:dyDescent="0.2">
      <c r="A11" s="1273"/>
      <c r="B11" s="1274"/>
      <c r="C11" s="1897"/>
      <c r="D11" s="1274"/>
      <c r="E11" s="1897"/>
      <c r="F11" s="1274"/>
      <c r="G11" s="1272"/>
    </row>
    <row r="12" spans="1:7" x14ac:dyDescent="0.2">
      <c r="A12" s="1270" t="s">
        <v>1587</v>
      </c>
      <c r="C12" s="1254"/>
      <c r="D12" s="1254"/>
    </row>
    <row r="13" spans="1:7" ht="23.45" customHeight="1" x14ac:dyDescent="0.2">
      <c r="A13" s="2541" t="s">
        <v>2085</v>
      </c>
      <c r="B13" s="2541"/>
      <c r="C13" s="2541"/>
      <c r="D13" s="2541"/>
      <c r="E13" s="2541"/>
      <c r="F13" s="2541"/>
    </row>
    <row r="14" spans="1:7" ht="9.75" customHeight="1" x14ac:dyDescent="0.2">
      <c r="C14" s="1254"/>
      <c r="D14" s="1254"/>
    </row>
    <row r="15" spans="1:7" ht="13.5" customHeight="1" x14ac:dyDescent="0.2">
      <c r="C15" s="1933" t="s">
        <v>1270</v>
      </c>
      <c r="D15" s="2546" t="s">
        <v>1269</v>
      </c>
      <c r="E15" s="2546"/>
      <c r="F15" s="2546"/>
    </row>
    <row r="16" spans="1:7" ht="13.5" customHeight="1" x14ac:dyDescent="0.2">
      <c r="A16" s="1276"/>
      <c r="B16" s="1270" t="s">
        <v>1268</v>
      </c>
      <c r="C16" s="1933" t="s">
        <v>1267</v>
      </c>
      <c r="D16" s="2547" t="s">
        <v>1588</v>
      </c>
      <c r="E16" s="2547"/>
      <c r="F16" s="2547"/>
    </row>
    <row r="17" spans="1:6" ht="20.45" customHeight="1" x14ac:dyDescent="0.2">
      <c r="A17" s="1277"/>
      <c r="B17" s="1934" t="s">
        <v>2086</v>
      </c>
      <c r="C17" s="1279"/>
      <c r="D17" s="2545"/>
      <c r="E17" s="2545"/>
      <c r="F17" s="2545"/>
    </row>
    <row r="18" spans="1:6" ht="20.65" customHeight="1" x14ac:dyDescent="0.2">
      <c r="A18" s="1277"/>
      <c r="B18" s="1278"/>
      <c r="C18" s="1279"/>
      <c r="D18" s="2545"/>
      <c r="E18" s="2545"/>
      <c r="F18" s="2545"/>
    </row>
    <row r="19" spans="1:6" ht="20.65" hidden="1" customHeight="1" x14ac:dyDescent="0.2">
      <c r="A19" s="1277"/>
      <c r="B19" s="1278"/>
      <c r="C19" s="1279"/>
      <c r="D19" s="2545"/>
      <c r="E19" s="2545"/>
      <c r="F19" s="2545"/>
    </row>
    <row r="20" spans="1:6" ht="20.65" hidden="1" customHeight="1" x14ac:dyDescent="0.2">
      <c r="A20" s="1277"/>
      <c r="B20" s="1278"/>
      <c r="C20" s="1279"/>
      <c r="D20" s="2545"/>
      <c r="E20" s="2545"/>
      <c r="F20" s="2545"/>
    </row>
    <row r="21" spans="1:6" ht="20.65" hidden="1" customHeight="1" x14ac:dyDescent="0.2">
      <c r="A21" s="1277"/>
      <c r="B21" s="1278"/>
      <c r="C21" s="1279"/>
      <c r="D21" s="2545"/>
      <c r="E21" s="2545"/>
      <c r="F21" s="2545"/>
    </row>
    <row r="22" spans="1:6" ht="20.65" hidden="1" customHeight="1" x14ac:dyDescent="0.2">
      <c r="A22" s="1277"/>
      <c r="B22" s="1278"/>
      <c r="C22" s="1279"/>
      <c r="D22" s="2545"/>
      <c r="E22" s="2545"/>
      <c r="F22" s="2545"/>
    </row>
    <row r="23" spans="1:6" ht="20.65" hidden="1" customHeight="1" x14ac:dyDescent="0.2">
      <c r="A23" s="1277"/>
      <c r="B23" s="1278"/>
      <c r="C23" s="1279"/>
      <c r="D23" s="2545"/>
      <c r="E23" s="2545"/>
      <c r="F23" s="2545"/>
    </row>
    <row r="24" spans="1:6" ht="20.65" hidden="1" customHeight="1" x14ac:dyDescent="0.2">
      <c r="A24" s="1277"/>
      <c r="B24" s="1278"/>
      <c r="C24" s="1279"/>
      <c r="D24" s="2545"/>
      <c r="E24" s="2545"/>
      <c r="F24" s="2545"/>
    </row>
    <row r="25" spans="1:6" ht="20.65" hidden="1" customHeight="1" x14ac:dyDescent="0.2">
      <c r="A25" s="1277"/>
      <c r="B25" s="1278"/>
      <c r="C25" s="1279"/>
      <c r="D25" s="2545"/>
      <c r="E25" s="2545"/>
      <c r="F25" s="2545"/>
    </row>
    <row r="26" spans="1:6" ht="20.65" hidden="1" customHeight="1" x14ac:dyDescent="0.2">
      <c r="A26" s="1277"/>
      <c r="B26" s="1278"/>
      <c r="C26" s="1279"/>
      <c r="D26" s="2545"/>
      <c r="E26" s="2545"/>
      <c r="F26" s="2545"/>
    </row>
    <row r="27" spans="1:6" ht="20.65" hidden="1" customHeight="1" x14ac:dyDescent="0.2">
      <c r="A27" s="1277"/>
      <c r="B27" s="1278"/>
      <c r="C27" s="1279"/>
      <c r="D27" s="2545"/>
      <c r="E27" s="2545"/>
      <c r="F27" s="2545"/>
    </row>
    <row r="28" spans="1:6" ht="20.65" hidden="1" customHeight="1" x14ac:dyDescent="0.2">
      <c r="A28" s="1277"/>
      <c r="B28" s="1278"/>
      <c r="C28" s="1279"/>
      <c r="D28" s="2545"/>
      <c r="E28" s="2545"/>
      <c r="F28" s="2545"/>
    </row>
    <row r="29" spans="1:6" ht="20.65" hidden="1" customHeight="1" x14ac:dyDescent="0.2">
      <c r="A29" s="1277"/>
      <c r="B29" s="1278"/>
      <c r="C29" s="1279"/>
      <c r="D29" s="2545"/>
      <c r="E29" s="2545"/>
      <c r="F29" s="2545"/>
    </row>
    <row r="30" spans="1:6" ht="12" customHeight="1" x14ac:dyDescent="0.2">
      <c r="A30" s="328"/>
      <c r="B30" s="328"/>
      <c r="C30" s="1459"/>
      <c r="D30" s="1898"/>
      <c r="E30" s="1280"/>
    </row>
    <row r="31" spans="1:6" ht="12" customHeight="1" x14ac:dyDescent="0.2">
      <c r="A31" s="1281" t="s">
        <v>1549</v>
      </c>
      <c r="B31" s="328"/>
      <c r="C31" s="1459"/>
      <c r="D31" s="1898"/>
      <c r="E31" s="1280"/>
    </row>
    <row r="32" spans="1:6" ht="30" customHeight="1" x14ac:dyDescent="0.2">
      <c r="A32" s="2550" t="s">
        <v>2087</v>
      </c>
      <c r="B32" s="2550"/>
      <c r="C32" s="2550"/>
      <c r="D32" s="2550"/>
      <c r="E32" s="2550"/>
      <c r="F32" s="2550"/>
    </row>
    <row r="33" spans="1:6" ht="13.5" customHeight="1" x14ac:dyDescent="0.2">
      <c r="A33" s="328" t="s">
        <v>1434</v>
      </c>
      <c r="B33" s="328"/>
      <c r="C33" s="1282">
        <v>0</v>
      </c>
      <c r="D33" s="1898"/>
      <c r="E33" s="1280"/>
    </row>
    <row r="34" spans="1:6" ht="13.5" customHeight="1" x14ac:dyDescent="0.2">
      <c r="A34" s="328" t="s">
        <v>1835</v>
      </c>
      <c r="B34" s="328"/>
      <c r="C34" s="1283">
        <v>0</v>
      </c>
      <c r="D34" s="1898" t="s">
        <v>1589</v>
      </c>
      <c r="E34" s="2551">
        <f>+C33+C34</f>
        <v>0</v>
      </c>
      <c r="F34" s="2552"/>
    </row>
    <row r="35" spans="1:6" ht="12" customHeight="1" x14ac:dyDescent="0.2">
      <c r="A35" s="328"/>
      <c r="B35" s="328"/>
      <c r="C35" s="1899"/>
      <c r="D35" s="1898"/>
      <c r="E35" s="1284"/>
      <c r="F35" s="1285"/>
    </row>
    <row r="36" spans="1:6" ht="13.5" customHeight="1" x14ac:dyDescent="0.2">
      <c r="A36" s="1281" t="s">
        <v>1550</v>
      </c>
      <c r="B36" s="328"/>
      <c r="C36" s="1459"/>
      <c r="D36" s="1898"/>
      <c r="E36" s="1280"/>
    </row>
    <row r="37" spans="1:6" ht="14.25" customHeight="1" x14ac:dyDescent="0.2">
      <c r="A37" s="328" t="s">
        <v>1484</v>
      </c>
      <c r="B37" s="328"/>
      <c r="C37" s="1900"/>
      <c r="D37" s="1898"/>
      <c r="E37" s="1280"/>
    </row>
    <row r="38" spans="1:6" ht="14.25" customHeight="1" x14ac:dyDescent="0.2">
      <c r="A38" s="328"/>
      <c r="B38" s="328" t="s">
        <v>1435</v>
      </c>
      <c r="C38" s="1286">
        <v>0</v>
      </c>
      <c r="D38" s="1898"/>
      <c r="E38" s="1280"/>
    </row>
    <row r="39" spans="1:6" ht="14.25" customHeight="1" x14ac:dyDescent="0.2">
      <c r="A39" s="328"/>
      <c r="B39" s="328" t="s">
        <v>1436</v>
      </c>
      <c r="C39" s="1286">
        <v>0</v>
      </c>
      <c r="D39" s="1898"/>
      <c r="E39" s="1280"/>
    </row>
    <row r="40" spans="1:6" ht="14.25" customHeight="1" x14ac:dyDescent="0.2">
      <c r="A40" s="328"/>
      <c r="B40" s="328" t="s">
        <v>1437</v>
      </c>
      <c r="C40" s="1286">
        <v>0</v>
      </c>
      <c r="D40" s="1898"/>
      <c r="E40" s="1280"/>
    </row>
    <row r="41" spans="1:6" ht="14.25" customHeight="1" x14ac:dyDescent="0.2">
      <c r="A41" s="328"/>
      <c r="B41" s="328" t="s">
        <v>1438</v>
      </c>
      <c r="C41" s="1286">
        <v>0</v>
      </c>
      <c r="D41" s="1898"/>
      <c r="E41" s="1280"/>
    </row>
    <row r="42" spans="1:6" ht="14.25" customHeight="1" x14ac:dyDescent="0.2">
      <c r="A42" s="328" t="s">
        <v>1439</v>
      </c>
      <c r="B42" s="328"/>
      <c r="C42" s="1896">
        <v>0</v>
      </c>
      <c r="D42" s="1898"/>
      <c r="E42" s="1280"/>
    </row>
    <row r="43" spans="1:6" ht="14.25" customHeight="1" x14ac:dyDescent="0.2">
      <c r="A43" s="328" t="s">
        <v>1440</v>
      </c>
      <c r="B43" s="328"/>
      <c r="C43" s="1287" t="s">
        <v>383</v>
      </c>
      <c r="D43" s="1898"/>
      <c r="E43" s="1280"/>
    </row>
    <row r="44" spans="1:6" ht="14.25" customHeight="1" x14ac:dyDescent="0.2">
      <c r="A44" s="328"/>
      <c r="B44" s="328"/>
      <c r="C44" s="1900" t="s">
        <v>1441</v>
      </c>
      <c r="D44" s="1898"/>
      <c r="E44" s="1280"/>
    </row>
    <row r="45" spans="1:6" ht="14.25" customHeight="1" x14ac:dyDescent="0.2">
      <c r="A45" s="328"/>
      <c r="B45" s="328"/>
      <c r="C45" s="1900"/>
      <c r="D45" s="1898"/>
      <c r="E45" s="1280"/>
    </row>
    <row r="46" spans="1:6" ht="14.25" customHeight="1" x14ac:dyDescent="0.2">
      <c r="A46" s="1281" t="s">
        <v>2088</v>
      </c>
      <c r="B46" s="328"/>
      <c r="C46" s="1900"/>
      <c r="D46" s="1898"/>
      <c r="E46" s="1280"/>
    </row>
    <row r="47" spans="1:6" ht="14.25" customHeight="1" x14ac:dyDescent="0.2">
      <c r="A47" s="328"/>
      <c r="B47" s="2553" t="s">
        <v>2089</v>
      </c>
      <c r="C47" s="2554"/>
      <c r="D47" s="2554"/>
      <c r="E47" s="2554"/>
    </row>
    <row r="48" spans="1:6" ht="14.25" customHeight="1" x14ac:dyDescent="0.2">
      <c r="A48" s="328"/>
      <c r="B48" s="2554"/>
      <c r="C48" s="2554"/>
      <c r="D48" s="2554"/>
      <c r="E48" s="2554"/>
    </row>
    <row r="49" spans="1:6" ht="13.5" customHeight="1" x14ac:dyDescent="0.2">
      <c r="B49" s="2554"/>
      <c r="C49" s="2554"/>
      <c r="D49" s="2554"/>
      <c r="E49" s="2554"/>
    </row>
    <row r="50" spans="1:6" x14ac:dyDescent="0.2">
      <c r="A50" s="1289" t="s">
        <v>1730</v>
      </c>
      <c r="C50" s="317"/>
      <c r="D50" s="317"/>
    </row>
    <row r="51" spans="1:6" s="322" customFormat="1" ht="11.25" customHeight="1" x14ac:dyDescent="0.2">
      <c r="A51" s="1290"/>
      <c r="B51" s="1291"/>
      <c r="C51" s="1291"/>
      <c r="D51" s="1291"/>
      <c r="E51" s="1291"/>
      <c r="F51" s="1291"/>
    </row>
    <row r="52" spans="1:6" s="322" customFormat="1" ht="6" customHeight="1" x14ac:dyDescent="0.2">
      <c r="A52" s="1292"/>
    </row>
    <row r="53" spans="1:6" s="1294" customFormat="1" ht="23.45" customHeight="1" x14ac:dyDescent="0.2">
      <c r="A53" s="1293">
        <v>5</v>
      </c>
      <c r="B53" s="2548" t="s">
        <v>1590</v>
      </c>
      <c r="C53" s="2548"/>
      <c r="D53" s="2548"/>
      <c r="E53" s="1393"/>
    </row>
    <row r="54" spans="1:6" s="1294" customFormat="1" ht="3.75" customHeight="1" x14ac:dyDescent="0.2">
      <c r="A54" s="1293"/>
      <c r="B54" s="1932"/>
      <c r="C54" s="1932"/>
      <c r="D54" s="1932"/>
      <c r="E54" s="1393"/>
    </row>
    <row r="55" spans="1:6" s="1294" customFormat="1" ht="20.25" customHeight="1" x14ac:dyDescent="0.2">
      <c r="A55" s="1295">
        <v>6</v>
      </c>
      <c r="B55" s="2549" t="s">
        <v>1551</v>
      </c>
      <c r="C55" s="2549"/>
      <c r="D55" s="2549"/>
    </row>
    <row r="56" spans="1:6" ht="14.25" customHeight="1" x14ac:dyDescent="0.2">
      <c r="A56" s="1295"/>
      <c r="B56" s="2549"/>
      <c r="C56" s="2549"/>
      <c r="D56" s="2549"/>
    </row>
  </sheetData>
  <mergeCells count="27">
    <mergeCell ref="B53:D53"/>
    <mergeCell ref="B55:D55"/>
    <mergeCell ref="B56:D56"/>
    <mergeCell ref="D27:F27"/>
    <mergeCell ref="D28:F28"/>
    <mergeCell ref="D29:F29"/>
    <mergeCell ref="A32:F32"/>
    <mergeCell ref="E34:F34"/>
    <mergeCell ref="B47:E49"/>
    <mergeCell ref="D26:F26"/>
    <mergeCell ref="D15:F15"/>
    <mergeCell ref="D16:F16"/>
    <mergeCell ref="D17:F17"/>
    <mergeCell ref="D18:F18"/>
    <mergeCell ref="D19:F19"/>
    <mergeCell ref="D20:F20"/>
    <mergeCell ref="D21:F21"/>
    <mergeCell ref="D22:F22"/>
    <mergeCell ref="D23:F23"/>
    <mergeCell ref="D24:F24"/>
    <mergeCell ref="D25:F25"/>
    <mergeCell ref="A13:F13"/>
    <mergeCell ref="A1:F1"/>
    <mergeCell ref="A2:F2"/>
    <mergeCell ref="A3:F3"/>
    <mergeCell ref="A4:F4"/>
    <mergeCell ref="A7:F7"/>
  </mergeCells>
  <pageMargins left="0.9" right="0.27" top="0.43" bottom="0" header="0.26" footer="0.5"/>
  <pageSetup scale="97"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59" t="str">
        <f>'Single Audit Cover'!A7</f>
        <v>Henry Stark County Spec Ed Dist</v>
      </c>
      <c r="C1" s="2560"/>
      <c r="D1" s="2560"/>
      <c r="E1" s="2560"/>
      <c r="F1" s="2560"/>
      <c r="G1" s="2560"/>
      <c r="H1" s="2560"/>
      <c r="I1" s="2560"/>
      <c r="J1" s="1403"/>
    </row>
    <row r="2" spans="2:10" s="317" customFormat="1" ht="12.75" customHeight="1" x14ac:dyDescent="0.2">
      <c r="B2" s="2561">
        <f>'Single Audit Cover'!E7</f>
        <v>28037801060</v>
      </c>
      <c r="C2" s="2562"/>
      <c r="D2" s="2562"/>
      <c r="E2" s="2562"/>
      <c r="F2" s="2562"/>
      <c r="G2" s="2562"/>
      <c r="H2" s="2562"/>
      <c r="I2" s="2562"/>
      <c r="J2" s="1403"/>
    </row>
    <row r="3" spans="2:10" s="317" customFormat="1" ht="12.75" customHeight="1" x14ac:dyDescent="0.2">
      <c r="B3" s="2563" t="s">
        <v>1285</v>
      </c>
      <c r="C3" s="2564"/>
      <c r="D3" s="2564"/>
      <c r="E3" s="2564"/>
      <c r="F3" s="2564"/>
      <c r="G3" s="2564"/>
      <c r="H3" s="2564"/>
      <c r="I3" s="2564"/>
      <c r="J3" s="1404"/>
    </row>
    <row r="4" spans="2:10" s="317" customFormat="1" ht="12.75" customHeight="1" x14ac:dyDescent="0.2">
      <c r="B4" s="2563" t="str">
        <f>'Single Audit Cover'!A4</f>
        <v>Year Ending June 30, 2019</v>
      </c>
      <c r="C4" s="2564"/>
      <c r="D4" s="2564"/>
      <c r="E4" s="2564"/>
      <c r="F4" s="2564"/>
      <c r="G4" s="2564"/>
      <c r="H4" s="2564"/>
      <c r="I4" s="2564"/>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563" t="s">
        <v>1284</v>
      </c>
      <c r="C7" s="2564"/>
      <c r="D7" s="2564"/>
      <c r="E7" s="2564"/>
      <c r="F7" s="2564"/>
      <c r="G7" s="2564"/>
      <c r="H7" s="2564"/>
      <c r="I7" s="2564"/>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565" t="s">
        <v>1164</v>
      </c>
      <c r="D11" s="2565"/>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t="s">
        <v>2070</v>
      </c>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t="s">
        <v>2070</v>
      </c>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t="s">
        <v>2070</v>
      </c>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t="s">
        <v>2070</v>
      </c>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t="s">
        <v>2070</v>
      </c>
      <c r="H27" s="1294" t="s">
        <v>1276</v>
      </c>
      <c r="I27" s="1294"/>
    </row>
    <row r="28" spans="2:9" s="317" customFormat="1" ht="12.75" customHeight="1" x14ac:dyDescent="0.2">
      <c r="B28" s="1362"/>
      <c r="C28" s="1276"/>
      <c r="E28" s="1252"/>
    </row>
    <row r="29" spans="2:9" s="317" customFormat="1" ht="12.75" customHeight="1" x14ac:dyDescent="0.2">
      <c r="B29" s="1362" t="s">
        <v>1275</v>
      </c>
      <c r="C29" s="1276"/>
      <c r="D29" s="2566" t="s">
        <v>2090</v>
      </c>
      <c r="E29" s="2566"/>
      <c r="F29" s="2566"/>
      <c r="G29" s="2566"/>
      <c r="H29" s="2566"/>
      <c r="I29" s="2566"/>
    </row>
    <row r="30" spans="2:9" s="317" customFormat="1" x14ac:dyDescent="0.2">
      <c r="B30" s="1362"/>
      <c r="C30" s="322"/>
      <c r="D30" s="1414" t="s">
        <v>1745</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t="s">
        <v>2070</v>
      </c>
      <c r="H33" s="1294" t="s">
        <v>99</v>
      </c>
    </row>
    <row r="35" spans="2:9" x14ac:dyDescent="0.2">
      <c r="B35" s="1422" t="s">
        <v>1746</v>
      </c>
      <c r="C35" s="1423"/>
      <c r="D35" s="1261"/>
    </row>
    <row r="36" spans="2:9" ht="6" customHeight="1" x14ac:dyDescent="0.2">
      <c r="B36" s="1422"/>
      <c r="C36" s="1423"/>
      <c r="D36" s="1261"/>
    </row>
    <row r="37" spans="2:9" ht="17.25" customHeight="1" x14ac:dyDescent="0.2">
      <c r="B37" s="1424" t="s">
        <v>1747</v>
      </c>
      <c r="C37" s="2567" t="s">
        <v>1748</v>
      </c>
      <c r="D37" s="2568"/>
      <c r="E37" s="2568"/>
      <c r="F37" s="2569"/>
      <c r="G37" s="2567" t="s">
        <v>1592</v>
      </c>
      <c r="H37" s="2568"/>
      <c r="I37" s="2569"/>
    </row>
    <row r="38" spans="2:9" ht="16.5" customHeight="1" x14ac:dyDescent="0.2">
      <c r="B38" s="1425">
        <v>84.173000000000002</v>
      </c>
      <c r="C38" s="2555" t="s">
        <v>2091</v>
      </c>
      <c r="D38" s="2556"/>
      <c r="E38" s="2556"/>
      <c r="F38" s="2557"/>
      <c r="G38" s="2570">
        <v>97075</v>
      </c>
      <c r="H38" s="2571"/>
      <c r="I38" s="2572"/>
    </row>
    <row r="39" spans="2:9" ht="16.5" customHeight="1" x14ac:dyDescent="0.2">
      <c r="B39" s="1425">
        <v>84.027000000000001</v>
      </c>
      <c r="C39" s="2555" t="s">
        <v>2092</v>
      </c>
      <c r="D39" s="2556"/>
      <c r="E39" s="2556"/>
      <c r="F39" s="2557"/>
      <c r="G39" s="2558">
        <v>2386700</v>
      </c>
      <c r="H39" s="2558"/>
      <c r="I39" s="2558"/>
    </row>
    <row r="40" spans="2:9" ht="16.5" customHeight="1" x14ac:dyDescent="0.2">
      <c r="B40" s="1425"/>
      <c r="C40" s="2555"/>
      <c r="D40" s="2556"/>
      <c r="E40" s="2556"/>
      <c r="F40" s="2557"/>
      <c r="G40" s="2558"/>
      <c r="H40" s="2558"/>
      <c r="I40" s="2558"/>
    </row>
    <row r="41" spans="2:9" ht="16.5" customHeight="1" x14ac:dyDescent="0.2">
      <c r="B41" s="1425"/>
      <c r="C41" s="2555"/>
      <c r="D41" s="2556"/>
      <c r="E41" s="2556"/>
      <c r="F41" s="2557"/>
      <c r="G41" s="2558"/>
      <c r="H41" s="2558"/>
      <c r="I41" s="2558"/>
    </row>
    <row r="42" spans="2:9" ht="16.5" customHeight="1" x14ac:dyDescent="0.2">
      <c r="B42" s="1425"/>
      <c r="C42" s="2555"/>
      <c r="D42" s="2556"/>
      <c r="E42" s="2556"/>
      <c r="F42" s="2557"/>
      <c r="G42" s="2558"/>
      <c r="H42" s="2558"/>
      <c r="I42" s="2558"/>
    </row>
    <row r="43" spans="2:9" ht="16.5" customHeight="1" x14ac:dyDescent="0.2">
      <c r="B43" s="1425"/>
      <c r="C43" s="2573" t="s">
        <v>1593</v>
      </c>
      <c r="D43" s="2574"/>
      <c r="E43" s="2574"/>
      <c r="F43" s="2575"/>
      <c r="G43" s="2576">
        <f>SUM(G38:I42)</f>
        <v>2483775</v>
      </c>
      <c r="H43" s="2576"/>
      <c r="I43" s="2576"/>
    </row>
    <row r="44" spans="2:9" ht="12.75" customHeight="1" x14ac:dyDescent="0.2"/>
    <row r="45" spans="2:9" ht="12.75" customHeight="1" x14ac:dyDescent="0.2">
      <c r="B45" s="1416" t="s">
        <v>1838</v>
      </c>
      <c r="D45" s="2577">
        <v>2589966</v>
      </c>
      <c r="E45" s="2578"/>
    </row>
    <row r="46" spans="2:9" ht="5.25" customHeight="1" x14ac:dyDescent="0.2">
      <c r="B46" s="1426"/>
      <c r="D46" s="1427"/>
      <c r="E46" s="1428"/>
    </row>
    <row r="47" spans="2:9" ht="12.75" customHeight="1" x14ac:dyDescent="0.2">
      <c r="B47" s="1294" t="s">
        <v>1594</v>
      </c>
      <c r="C47" s="1294"/>
      <c r="D47" s="1429">
        <f>+G43/D45</f>
        <v>0.95899907566354148</v>
      </c>
      <c r="E47" s="1430"/>
      <c r="F47" s="1431"/>
      <c r="I47" s="1432"/>
    </row>
    <row r="48" spans="2:9" ht="9.9499999999999993" customHeight="1" x14ac:dyDescent="0.2"/>
    <row r="49" spans="1:9" x14ac:dyDescent="0.2">
      <c r="B49" s="1362" t="s">
        <v>1273</v>
      </c>
      <c r="C49" s="1276"/>
      <c r="D49" s="1276"/>
      <c r="E49" s="2579">
        <v>750000</v>
      </c>
      <c r="F49" s="2579"/>
      <c r="G49" s="2579"/>
      <c r="H49" s="322"/>
    </row>
    <row r="51" spans="1:9" ht="13.5" customHeight="1" x14ac:dyDescent="0.2">
      <c r="B51" s="1362" t="s">
        <v>1272</v>
      </c>
      <c r="C51" s="1276"/>
      <c r="E51" s="1419"/>
      <c r="F51" s="1294" t="s">
        <v>885</v>
      </c>
      <c r="G51" s="1419" t="s">
        <v>2070</v>
      </c>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1749</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1750</v>
      </c>
      <c r="C58" s="1445"/>
      <c r="D58" s="1445"/>
    </row>
    <row r="59" spans="1:9" s="1442" customFormat="1" ht="3.95" customHeight="1" x14ac:dyDescent="0.2">
      <c r="A59" s="1439"/>
      <c r="B59" s="1444"/>
      <c r="C59" s="1445"/>
      <c r="D59" s="1445"/>
    </row>
    <row r="60" spans="1:9" s="1442" customFormat="1" ht="13.5" customHeight="1" x14ac:dyDescent="0.2">
      <c r="A60" s="1439"/>
      <c r="B60" s="1444" t="s">
        <v>1751</v>
      </c>
      <c r="C60" s="1445"/>
      <c r="D60" s="1445"/>
    </row>
    <row r="61" spans="1:9" s="1442" customFormat="1" ht="3.95" customHeight="1" x14ac:dyDescent="0.2">
      <c r="A61" s="1439"/>
      <c r="B61" s="1444"/>
      <c r="C61" s="1445"/>
      <c r="D61" s="1445"/>
    </row>
    <row r="62" spans="1:9" s="1442" customFormat="1" ht="12.75" customHeight="1" x14ac:dyDescent="0.2">
      <c r="A62" s="1439"/>
      <c r="B62" s="1444" t="s">
        <v>1752</v>
      </c>
      <c r="C62" s="1445"/>
      <c r="D62" s="1445"/>
    </row>
    <row r="63" spans="1:9" s="1442" customFormat="1" ht="13.5" customHeight="1" x14ac:dyDescent="0.2">
      <c r="A63" s="1439"/>
      <c r="B63" s="1443" t="s">
        <v>1597</v>
      </c>
      <c r="C63" s="1439"/>
      <c r="D63" s="143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59" t="str">
        <f>'Single Audit Cover'!A7</f>
        <v>Henry Stark County Spec Ed Dist</v>
      </c>
      <c r="C1" s="2559"/>
      <c r="D1" s="2559"/>
      <c r="E1" s="2559"/>
      <c r="F1" s="2559"/>
      <c r="G1" s="2559"/>
      <c r="H1" s="2559"/>
      <c r="I1" s="2559"/>
      <c r="J1" s="2559"/>
      <c r="K1" s="2559"/>
      <c r="L1" s="1368"/>
      <c r="M1" s="1368"/>
    </row>
    <row r="2" spans="1:13" ht="12" customHeight="1" x14ac:dyDescent="0.2">
      <c r="B2" s="2561">
        <f>'Single Audit Cover'!E7</f>
        <v>28037801060</v>
      </c>
      <c r="C2" s="2561"/>
      <c r="D2" s="2561"/>
      <c r="E2" s="2561"/>
      <c r="F2" s="2561"/>
      <c r="G2" s="2561"/>
      <c r="H2" s="2561"/>
      <c r="I2" s="2561"/>
      <c r="J2" s="2561"/>
      <c r="K2" s="2561"/>
      <c r="L2" s="1369"/>
      <c r="M2" s="1370"/>
    </row>
    <row r="3" spans="1:13" ht="10.35" customHeight="1" x14ac:dyDescent="0.2">
      <c r="B3" s="2582" t="s">
        <v>1285</v>
      </c>
      <c r="C3" s="2582"/>
      <c r="D3" s="2582"/>
      <c r="E3" s="2582"/>
      <c r="F3" s="2582"/>
      <c r="G3" s="2582"/>
      <c r="H3" s="2582"/>
      <c r="I3" s="2582"/>
      <c r="J3" s="2582"/>
      <c r="K3" s="2582"/>
      <c r="L3" s="1371"/>
      <c r="M3" s="1371"/>
    </row>
    <row r="4" spans="1:13" ht="14.25" customHeight="1" x14ac:dyDescent="0.2">
      <c r="B4" s="2583" t="str">
        <f>'Single Audit Cover'!A4</f>
        <v>Year Ending June 30, 2019</v>
      </c>
      <c r="C4" s="2583"/>
      <c r="D4" s="2583"/>
      <c r="E4" s="2583"/>
      <c r="F4" s="2583"/>
      <c r="G4" s="2583"/>
      <c r="H4" s="2583"/>
      <c r="I4" s="2583"/>
      <c r="J4" s="2583"/>
      <c r="K4" s="2583"/>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583" t="s">
        <v>1296</v>
      </c>
      <c r="C7" s="2583"/>
      <c r="D7" s="2584"/>
      <c r="E7" s="2584"/>
      <c r="F7" s="2584"/>
      <c r="G7" s="2584"/>
      <c r="H7" s="2584"/>
      <c r="I7" s="2584"/>
      <c r="J7" s="2584"/>
      <c r="K7" s="2584"/>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1739</v>
      </c>
      <c r="C10" s="1379" t="s">
        <v>1988</v>
      </c>
      <c r="D10" s="1380" t="s">
        <v>2086</v>
      </c>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581"/>
      <c r="C14" s="2581"/>
      <c r="D14" s="2581"/>
      <c r="E14" s="2581"/>
      <c r="F14" s="2581"/>
      <c r="G14" s="2581"/>
      <c r="H14" s="2581"/>
      <c r="I14" s="2581"/>
      <c r="J14" s="2581"/>
      <c r="K14" s="2581"/>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581"/>
      <c r="C17" s="2581"/>
      <c r="D17" s="2581"/>
      <c r="E17" s="2581"/>
      <c r="F17" s="2581"/>
      <c r="G17" s="2581"/>
      <c r="H17" s="2581"/>
      <c r="I17" s="2581"/>
      <c r="J17" s="2581"/>
      <c r="K17" s="2581"/>
      <c r="L17" s="1375"/>
    </row>
    <row r="18" spans="2:12" ht="4.5" customHeight="1" x14ac:dyDescent="0.2">
      <c r="B18" s="1392"/>
      <c r="C18" s="1392"/>
      <c r="L18" s="1375"/>
    </row>
    <row r="19" spans="2:12" s="1276" customFormat="1" ht="13.5" customHeight="1" x14ac:dyDescent="0.2">
      <c r="B19" s="1387" t="s">
        <v>1740</v>
      </c>
      <c r="C19" s="1387"/>
      <c r="D19" s="1388"/>
      <c r="E19" s="1388"/>
      <c r="F19" s="1388"/>
      <c r="G19" s="1389"/>
      <c r="H19" s="1388"/>
      <c r="I19" s="1389"/>
      <c r="J19" s="1388"/>
      <c r="K19" s="1388"/>
      <c r="L19" s="1390"/>
    </row>
    <row r="20" spans="2:12" ht="45.75" customHeight="1" x14ac:dyDescent="0.2">
      <c r="B20" s="2585"/>
      <c r="C20" s="2585"/>
      <c r="D20" s="2581"/>
      <c r="E20" s="2581"/>
      <c r="F20" s="2581"/>
      <c r="G20" s="2581"/>
      <c r="H20" s="2581"/>
      <c r="I20" s="2581"/>
      <c r="J20" s="2581"/>
      <c r="K20" s="2581"/>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581"/>
      <c r="C23" s="2581"/>
      <c r="D23" s="2581"/>
      <c r="E23" s="2581"/>
      <c r="F23" s="2581"/>
      <c r="G23" s="2581"/>
      <c r="H23" s="2581"/>
      <c r="I23" s="2581"/>
      <c r="J23" s="2581"/>
      <c r="K23" s="2581"/>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581"/>
      <c r="C26" s="2581"/>
      <c r="D26" s="2581"/>
      <c r="E26" s="2581"/>
      <c r="F26" s="2581"/>
      <c r="G26" s="2581"/>
      <c r="H26" s="2581"/>
      <c r="I26" s="2581"/>
      <c r="J26" s="2581"/>
      <c r="K26" s="2581"/>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580"/>
      <c r="C29" s="2580"/>
      <c r="D29" s="2581"/>
      <c r="E29" s="2581"/>
      <c r="F29" s="2581"/>
      <c r="G29" s="2581"/>
      <c r="H29" s="2581"/>
      <c r="I29" s="2581"/>
      <c r="J29" s="2581"/>
      <c r="K29" s="2581"/>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1741</v>
      </c>
      <c r="C31" s="1397"/>
      <c r="D31" s="1372"/>
      <c r="E31" s="1373"/>
      <c r="F31" s="1373"/>
      <c r="G31" s="1374"/>
      <c r="H31" s="1373"/>
      <c r="I31" s="1374"/>
      <c r="J31" s="1373"/>
      <c r="K31" s="1373"/>
      <c r="L31" s="1375"/>
    </row>
    <row r="32" spans="2:12" s="322" customFormat="1" ht="44.25" customHeight="1" x14ac:dyDescent="0.2">
      <c r="B32" s="2580"/>
      <c r="C32" s="2580"/>
      <c r="D32" s="2581"/>
      <c r="E32" s="2581"/>
      <c r="F32" s="2581"/>
      <c r="G32" s="2581"/>
      <c r="H32" s="2581"/>
      <c r="I32" s="2581"/>
      <c r="J32" s="2581"/>
      <c r="K32" s="2581"/>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1742</v>
      </c>
      <c r="C35" s="1400"/>
      <c r="D35" s="322"/>
      <c r="E35" s="322"/>
      <c r="F35" s="322"/>
      <c r="L35" s="1375"/>
    </row>
    <row r="36" spans="1:13" ht="9.6" customHeight="1" x14ac:dyDescent="0.2">
      <c r="B36" s="1294" t="s">
        <v>1839</v>
      </c>
      <c r="C36" s="1294"/>
      <c r="L36" s="1375"/>
    </row>
    <row r="37" spans="1:13" ht="9.6" customHeight="1" x14ac:dyDescent="0.2">
      <c r="B37" s="1294" t="s">
        <v>1840</v>
      </c>
      <c r="C37" s="1294"/>
    </row>
    <row r="38" spans="1:13" ht="11.85" customHeight="1" x14ac:dyDescent="0.2">
      <c r="B38" s="1401" t="s">
        <v>1743</v>
      </c>
      <c r="C38" s="1401"/>
    </row>
    <row r="39" spans="1:13" ht="9.6" customHeight="1" x14ac:dyDescent="0.2">
      <c r="B39" s="1294" t="s">
        <v>1286</v>
      </c>
      <c r="C39" s="1294"/>
      <c r="M39" s="1402"/>
    </row>
    <row r="40" spans="1:13" ht="12.6" customHeight="1" x14ac:dyDescent="0.2">
      <c r="B40" s="1401" t="s">
        <v>1744</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86" t="str">
        <f>'Single Audit Cover'!A7</f>
        <v>Henry Stark County Spec Ed Dist</v>
      </c>
      <c r="C1" s="2586"/>
      <c r="D1" s="2586"/>
      <c r="E1" s="2586"/>
      <c r="F1" s="2586"/>
      <c r="G1" s="2586"/>
      <c r="H1" s="2586"/>
      <c r="I1" s="2586"/>
      <c r="J1" s="2586"/>
      <c r="K1" s="2586"/>
      <c r="L1" s="1446"/>
    </row>
    <row r="2" spans="1:12" ht="12.75" customHeight="1" x14ac:dyDescent="0.2">
      <c r="B2" s="2587">
        <f>'Single Audit Cover'!E7</f>
        <v>28037801060</v>
      </c>
      <c r="C2" s="2587"/>
      <c r="D2" s="2587"/>
      <c r="E2" s="2587"/>
      <c r="F2" s="2587"/>
      <c r="G2" s="2587"/>
      <c r="H2" s="2587"/>
      <c r="I2" s="2587"/>
      <c r="J2" s="2587"/>
      <c r="K2" s="2587"/>
      <c r="L2" s="1447"/>
    </row>
    <row r="3" spans="1:12" ht="12.75" customHeight="1" x14ac:dyDescent="0.2">
      <c r="B3" s="2582" t="s">
        <v>1285</v>
      </c>
      <c r="C3" s="2582"/>
      <c r="D3" s="2582"/>
      <c r="E3" s="2582"/>
      <c r="F3" s="2582"/>
      <c r="G3" s="2582"/>
      <c r="H3" s="2582"/>
      <c r="I3" s="2582"/>
      <c r="J3" s="2582"/>
      <c r="K3" s="2582"/>
      <c r="L3" s="1371"/>
    </row>
    <row r="4" spans="1:12" ht="12.75" customHeight="1" x14ac:dyDescent="0.2">
      <c r="B4" s="2582" t="str">
        <f>'Single Audit Cover'!A4</f>
        <v>Year Ending June 30, 2019</v>
      </c>
      <c r="C4" s="2582"/>
      <c r="D4" s="2582"/>
      <c r="E4" s="2582"/>
      <c r="F4" s="2582"/>
      <c r="G4" s="2582"/>
      <c r="H4" s="2582"/>
      <c r="I4" s="2582"/>
      <c r="J4" s="2582"/>
      <c r="K4" s="2582"/>
      <c r="L4" s="1371"/>
    </row>
    <row r="5" spans="1:12" ht="5.25" customHeight="1" x14ac:dyDescent="0.2">
      <c r="B5" s="1254" t="s">
        <v>1169</v>
      </c>
      <c r="C5" s="1254"/>
      <c r="L5" s="322"/>
    </row>
    <row r="6" spans="1:12" ht="30.75" customHeight="1" x14ac:dyDescent="0.2">
      <c r="A6" s="322"/>
      <c r="B6" s="2588" t="s">
        <v>1308</v>
      </c>
      <c r="C6" s="2588"/>
      <c r="D6" s="2588"/>
      <c r="E6" s="2588"/>
      <c r="F6" s="2588"/>
      <c r="G6" s="2588"/>
      <c r="H6" s="2588"/>
      <c r="I6" s="2588"/>
      <c r="J6" s="2588"/>
      <c r="K6" s="2588"/>
      <c r="L6" s="322"/>
    </row>
    <row r="7" spans="1:12" ht="4.5" customHeight="1" x14ac:dyDescent="0.2">
      <c r="B7" s="1373"/>
      <c r="C7" s="1373"/>
      <c r="D7" s="1373"/>
      <c r="E7" s="1373"/>
      <c r="F7" s="1373"/>
      <c r="G7" s="1374"/>
      <c r="H7" s="1373"/>
      <c r="I7" s="1374"/>
      <c r="J7" s="1373"/>
      <c r="K7" s="1373"/>
      <c r="L7" s="322"/>
    </row>
    <row r="8" spans="1:12" ht="13.5" customHeight="1" x14ac:dyDescent="0.2">
      <c r="B8" s="1381" t="s">
        <v>1753</v>
      </c>
      <c r="C8" s="1448" t="s">
        <v>1988</v>
      </c>
      <c r="D8" s="1449" t="s">
        <v>2086</v>
      </c>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566"/>
      <c r="G12" s="2566"/>
      <c r="H12" s="2566"/>
      <c r="I12" s="2566"/>
      <c r="J12" s="2566"/>
      <c r="K12" s="2566"/>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589"/>
      <c r="E14" s="2589"/>
      <c r="F14" s="2589"/>
      <c r="H14" s="1456" t="s">
        <v>1303</v>
      </c>
      <c r="I14" s="2590"/>
      <c r="J14" s="2590"/>
      <c r="K14" s="2590"/>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590"/>
      <c r="E16" s="2590"/>
      <c r="F16" s="2590"/>
      <c r="G16" s="2590"/>
      <c r="H16" s="2590"/>
      <c r="I16" s="2590"/>
      <c r="J16" s="2590"/>
      <c r="K16" s="2590"/>
      <c r="L16" s="322"/>
    </row>
    <row r="17" spans="2:12" ht="13.5" customHeight="1" x14ac:dyDescent="0.2">
      <c r="B17" s="1381" t="s">
        <v>1301</v>
      </c>
      <c r="C17" s="1381"/>
      <c r="D17" s="2591"/>
      <c r="E17" s="2591"/>
      <c r="F17" s="2591"/>
      <c r="G17" s="2591"/>
      <c r="H17" s="2591"/>
      <c r="I17" s="2591"/>
      <c r="J17" s="2591"/>
      <c r="K17" s="2591"/>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581"/>
      <c r="C20" s="2581"/>
      <c r="D20" s="2581"/>
      <c r="E20" s="2581"/>
      <c r="F20" s="2581"/>
      <c r="G20" s="2581"/>
      <c r="H20" s="2581"/>
      <c r="I20" s="2581"/>
      <c r="J20" s="2581"/>
      <c r="K20" s="2581"/>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1754</v>
      </c>
      <c r="C22" s="1458"/>
      <c r="D22" s="322"/>
      <c r="E22" s="322"/>
      <c r="F22" s="322"/>
      <c r="G22" s="1377"/>
      <c r="H22" s="322"/>
      <c r="I22" s="1377"/>
      <c r="J22" s="322"/>
      <c r="K22" s="322"/>
      <c r="L22" s="322"/>
    </row>
    <row r="23" spans="2:12" ht="37.5" customHeight="1" x14ac:dyDescent="0.2">
      <c r="B23" s="2581"/>
      <c r="C23" s="2581"/>
      <c r="D23" s="2581"/>
      <c r="E23" s="2581"/>
      <c r="F23" s="2581"/>
      <c r="G23" s="2581"/>
      <c r="H23" s="2581"/>
      <c r="I23" s="2581"/>
      <c r="J23" s="2581"/>
      <c r="K23" s="2581"/>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1755</v>
      </c>
      <c r="C25" s="1458"/>
      <c r="D25" s="322"/>
      <c r="E25" s="322"/>
      <c r="F25" s="322"/>
      <c r="G25" s="1377"/>
      <c r="H25" s="322"/>
      <c r="I25" s="1377"/>
      <c r="J25" s="322"/>
      <c r="K25" s="322"/>
      <c r="L25" s="322"/>
    </row>
    <row r="26" spans="2:12" ht="37.5" customHeight="1" x14ac:dyDescent="0.2">
      <c r="B26" s="2581"/>
      <c r="C26" s="2581"/>
      <c r="D26" s="2581"/>
      <c r="E26" s="2581"/>
      <c r="F26" s="2581"/>
      <c r="G26" s="2581"/>
      <c r="H26" s="2581"/>
      <c r="I26" s="2581"/>
      <c r="J26" s="2581"/>
      <c r="K26" s="2581"/>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1756</v>
      </c>
      <c r="C28" s="1458"/>
      <c r="D28" s="322"/>
      <c r="E28" s="322"/>
      <c r="F28" s="322"/>
      <c r="G28" s="1377"/>
      <c r="H28" s="322"/>
      <c r="I28" s="1377"/>
      <c r="J28" s="322"/>
      <c r="K28" s="322"/>
      <c r="L28" s="322"/>
    </row>
    <row r="29" spans="2:12" ht="37.5" customHeight="1" x14ac:dyDescent="0.2">
      <c r="B29" s="2581"/>
      <c r="C29" s="2581"/>
      <c r="D29" s="2581"/>
      <c r="E29" s="2581"/>
      <c r="F29" s="2581"/>
      <c r="G29" s="2581"/>
      <c r="H29" s="2581"/>
      <c r="I29" s="2581"/>
      <c r="J29" s="2581"/>
      <c r="K29" s="2581"/>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581"/>
      <c r="C32" s="2581"/>
      <c r="D32" s="2581"/>
      <c r="E32" s="2581"/>
      <c r="F32" s="2581"/>
      <c r="G32" s="2581"/>
      <c r="H32" s="2581"/>
      <c r="I32" s="2581"/>
      <c r="J32" s="2581"/>
      <c r="K32" s="2581"/>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581"/>
      <c r="C35" s="2581"/>
      <c r="D35" s="2581"/>
      <c r="E35" s="2581"/>
      <c r="F35" s="2581"/>
      <c r="G35" s="2581"/>
      <c r="H35" s="2581"/>
      <c r="I35" s="2581"/>
      <c r="J35" s="2581"/>
      <c r="K35" s="2581"/>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581"/>
      <c r="C38" s="2581"/>
      <c r="D38" s="2581"/>
      <c r="E38" s="2581"/>
      <c r="F38" s="2581"/>
      <c r="G38" s="2581"/>
      <c r="H38" s="2581"/>
      <c r="I38" s="2581"/>
      <c r="J38" s="2581"/>
      <c r="K38" s="2581"/>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1757</v>
      </c>
      <c r="C40" s="1397"/>
      <c r="D40" s="1372"/>
      <c r="E40" s="1373"/>
      <c r="F40" s="1373"/>
      <c r="G40" s="1374"/>
      <c r="H40" s="1373"/>
      <c r="I40" s="1374"/>
      <c r="J40" s="1373"/>
      <c r="K40" s="1373"/>
    </row>
    <row r="41" spans="2:12" s="322" customFormat="1" ht="33.75" customHeight="1" x14ac:dyDescent="0.2">
      <c r="B41" s="2581"/>
      <c r="C41" s="2581"/>
      <c r="D41" s="2581"/>
      <c r="E41" s="2581"/>
      <c r="F41" s="2581"/>
      <c r="G41" s="2581"/>
      <c r="H41" s="2581"/>
      <c r="I41" s="2581"/>
      <c r="J41" s="2581"/>
      <c r="K41" s="2581"/>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1758</v>
      </c>
      <c r="C44" s="1400"/>
      <c r="D44" s="322"/>
      <c r="E44" s="322"/>
      <c r="F44" s="322"/>
    </row>
    <row r="45" spans="2:12" ht="10.5" customHeight="1" x14ac:dyDescent="0.2">
      <c r="B45" s="1401" t="s">
        <v>1759</v>
      </c>
      <c r="C45" s="1401"/>
      <c r="G45" s="317"/>
      <c r="I45" s="317"/>
    </row>
    <row r="46" spans="2:12" ht="11.1" customHeight="1" x14ac:dyDescent="0.2">
      <c r="B46" s="1401" t="s">
        <v>1760</v>
      </c>
      <c r="C46" s="1401"/>
      <c r="G46" s="317"/>
      <c r="I46" s="317"/>
    </row>
    <row r="47" spans="2:12" ht="11.1" customHeight="1" x14ac:dyDescent="0.2">
      <c r="B47" s="1401" t="s">
        <v>1761</v>
      </c>
      <c r="C47" s="1401"/>
      <c r="G47" s="317"/>
      <c r="I47" s="317"/>
    </row>
    <row r="48" spans="2:12" ht="11.1" customHeight="1" x14ac:dyDescent="0.2">
      <c r="B48" s="1401" t="s">
        <v>1762</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559" t="str">
        <f>'Single Audit Cover'!A7</f>
        <v>Henry Stark County Spec Ed Dist</v>
      </c>
      <c r="C1" s="2559"/>
      <c r="D1" s="2559"/>
      <c r="E1" s="1466"/>
    </row>
    <row r="2" spans="2:5" s="1276" customFormat="1" ht="12.75" customHeight="1" x14ac:dyDescent="0.2">
      <c r="B2" s="2561">
        <f>'Single Audit Cover'!E7</f>
        <v>28037801060</v>
      </c>
      <c r="C2" s="2561"/>
      <c r="D2" s="2561"/>
      <c r="E2" s="1467"/>
    </row>
    <row r="3" spans="2:5" ht="12.75" customHeight="1" x14ac:dyDescent="0.2">
      <c r="B3" s="2582" t="s">
        <v>1763</v>
      </c>
      <c r="C3" s="2582"/>
      <c r="D3" s="2582"/>
      <c r="E3" s="1268"/>
    </row>
    <row r="4" spans="2:5" s="1276" customFormat="1" ht="12.75" customHeight="1" x14ac:dyDescent="0.2">
      <c r="B4" s="2592" t="str">
        <f>'Single Audit Cover'!A4</f>
        <v>Year Ending June 30, 2019</v>
      </c>
      <c r="C4" s="2592"/>
      <c r="D4" s="2592"/>
      <c r="E4" s="1468"/>
    </row>
    <row r="5" spans="2:5" s="1276" customFormat="1" ht="40.15" customHeight="1" x14ac:dyDescent="0.2">
      <c r="B5" s="1469" t="s">
        <v>1764</v>
      </c>
      <c r="C5" s="328"/>
      <c r="D5" s="328"/>
      <c r="E5" s="328"/>
    </row>
    <row r="6" spans="2:5" s="1276" customFormat="1" ht="13.5" customHeight="1" x14ac:dyDescent="0.2">
      <c r="B6" s="1470" t="s">
        <v>1315</v>
      </c>
      <c r="C6" s="1470" t="s">
        <v>1314</v>
      </c>
      <c r="D6" s="1470" t="s">
        <v>1765</v>
      </c>
    </row>
    <row r="7" spans="2:5" ht="13.5" customHeight="1" x14ac:dyDescent="0.2">
      <c r="B7" s="1471" t="s">
        <v>2093</v>
      </c>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1766</v>
      </c>
    </row>
    <row r="46" spans="2:5" ht="12.2" customHeight="1" x14ac:dyDescent="0.2">
      <c r="B46" s="1480" t="s">
        <v>1767</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559" t="s">
        <v>2073</v>
      </c>
      <c r="C1" s="2559"/>
      <c r="D1" s="2559"/>
      <c r="E1" s="1466"/>
    </row>
    <row r="2" spans="2:5" s="1276" customFormat="1" ht="12.75" customHeight="1" x14ac:dyDescent="0.2">
      <c r="B2" s="2561" t="s">
        <v>2071</v>
      </c>
      <c r="C2" s="2561"/>
      <c r="D2" s="2561"/>
      <c r="E2" s="1467"/>
    </row>
    <row r="3" spans="2:5" ht="12.75" customHeight="1" x14ac:dyDescent="0.2">
      <c r="B3" s="2582" t="s">
        <v>1763</v>
      </c>
      <c r="C3" s="2582"/>
      <c r="D3" s="2582"/>
      <c r="E3" s="1935"/>
    </row>
    <row r="4" spans="2:5" s="1276" customFormat="1" ht="12.75" customHeight="1" x14ac:dyDescent="0.2">
      <c r="B4" s="2592" t="str">
        <f>'Single Audit Cover'!A4</f>
        <v>Year Ending June 30, 2019</v>
      </c>
      <c r="C4" s="2592"/>
      <c r="D4" s="2592"/>
      <c r="E4" s="1468"/>
    </row>
    <row r="5" spans="2:5" s="1276" customFormat="1" ht="40.35" hidden="1" customHeight="1" x14ac:dyDescent="0.2">
      <c r="B5" s="1469" t="s">
        <v>1764</v>
      </c>
      <c r="C5" s="328"/>
      <c r="D5" s="328"/>
      <c r="E5" s="328"/>
    </row>
    <row r="6" spans="2:5" s="1276" customFormat="1" ht="13.5" customHeight="1" x14ac:dyDescent="0.2">
      <c r="B6" s="1470" t="s">
        <v>1315</v>
      </c>
      <c r="C6" s="1470" t="s">
        <v>1314</v>
      </c>
      <c r="D6" s="1470" t="s">
        <v>1765</v>
      </c>
    </row>
    <row r="7" spans="2:5" ht="13.5" customHeight="1" x14ac:dyDescent="0.2">
      <c r="B7" s="1471" t="s">
        <v>2094</v>
      </c>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1766</v>
      </c>
    </row>
    <row r="46" spans="2:5" ht="12.2" customHeight="1" x14ac:dyDescent="0.2">
      <c r="B46" s="1480" t="s">
        <v>1767</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http://schemas.microsoft.com/office/infopath/2007/PartnerControls"/>
    <ds:schemaRef ds:uri="http://schemas.openxmlformats.org/package/2006/metadata/core-properties"/>
    <ds:schemaRef ds:uri="http://purl.org/dc/elements/1.1/"/>
    <ds:schemaRef ds:uri="http://www.w3.org/XML/1998/namespace"/>
    <ds:schemaRef ds:uri="4d435f69-8686-490b-bd6d-b153bf22ab50"/>
    <ds:schemaRef ds:uri="d21dc803-237d-4c68-8692-8d731fd29118"/>
    <ds:schemaRef ds:uri="http://schemas.microsoft.com/office/2006/metadata/properties"/>
    <ds:schemaRef ds:uri="http://schemas.microsoft.com/office/2006/documentManagement/types"/>
    <ds:schemaRef ds:uri="6ce3111e-7420-4802-b50a-75d4e9a0b980"/>
    <ds:schemaRef ds:uri="http://purl.org/dc/dcmitype/"/>
    <ds:schemaRef ds:uri="http://purl.org/dc/te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19</vt:lpstr>
      <vt:lpstr>SEFA NOTES </vt:lpstr>
      <vt:lpstr>SF&amp;QC Sec-1</vt:lpstr>
      <vt:lpstr>SF&amp;QC Sec-2</vt:lpstr>
      <vt:lpstr>SF&amp;QC Sec-3</vt:lpstr>
      <vt:lpstr>SSPAF</vt:lpstr>
      <vt:lpstr>SSPAF </vt:lpstr>
      <vt:lpstr>' SEFA'!Print_Area</vt:lpstr>
      <vt:lpstr>'SEFA 19'!Print_Area</vt:lpstr>
      <vt:lpstr>'SEFA NOTES '!Print_Area</vt:lpstr>
      <vt:lpstr>'SEFA Reconcile'!Print_Area</vt:lpstr>
      <vt:lpstr>'SF&amp;QC Sec-1'!Print_Area</vt:lpstr>
      <vt:lpstr>'SF&amp;QC Sec-3'!Print_Area</vt:lpstr>
      <vt:lpstr>'Single Audit Checklist'!Print_Area</vt:lpstr>
      <vt:lpstr>'Single Audit Cover'!Print_Area</vt:lpstr>
      <vt:lpstr>'SEFA 19'!Print_Area_MI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19'!Print_Titles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2019-10-18T20:47:28Z</cp:lastPrinted>
  <dcterms:created xsi:type="dcterms:W3CDTF">2003-10-29T19:06:34Z</dcterms:created>
  <dcterms:modified xsi:type="dcterms:W3CDTF">2019-12-17T17:43:29Z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