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E1B5D792-6F9E-4593-B8E2-DB60E2F44BC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61" i="29" l="1"/>
  <c r="L55" i="29"/>
  <c r="L52" i="29"/>
  <c r="L8" i="29"/>
  <c r="D61" i="29" l="1"/>
  <c r="D55" i="29"/>
  <c r="C55" i="29"/>
  <c r="E61" i="29"/>
  <c r="E52" i="29"/>
  <c r="E8" i="29"/>
  <c r="D8" i="29"/>
  <c r="C8" i="29"/>
  <c r="C4" i="3"/>
  <c r="C98"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E27" i="108"/>
  <c r="G27" i="108"/>
  <c r="E28"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11" i="37"/>
  <c r="D22" i="37"/>
  <c r="J22" i="37"/>
  <c r="L22" i="37"/>
  <c r="D24" i="37"/>
  <c r="B4270" i="106" s="1"/>
  <c r="D4270" i="106" s="1"/>
  <c r="D9" i="7"/>
  <c r="B1767" i="106" s="1"/>
  <c r="D1767" i="106" s="1"/>
  <c r="B5752" i="106"/>
  <c r="D5752" i="106" s="1"/>
  <c r="D17" i="7"/>
  <c r="B4104" i="106" s="1"/>
  <c r="D4104" i="106" s="1"/>
  <c r="D54" i="36" l="1"/>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F41" i="108" s="1"/>
  <c r="G43" i="108" s="1"/>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<sst xmlns="http://schemas.openxmlformats.org/spreadsheetml/2006/main" count="5059" uniqueCount="2091">
  <si>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</si>
  <si>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</si>
  <si>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</si>
  <si>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</si>
  <si>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</si>
  <si>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</si>
  <si>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</si>
  <si>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</si>
  <si>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</si>
  <si>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</si>
  <si>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</si>
  <si>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</si>
  <si>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</si>
  <si>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</si>
  <si>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</si>
  <si>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</si>
  <si>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</si>
  <si>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</si>
  <si>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</si>
  <si>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</si>
  <si>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</si>
  <si>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</si>
  <si>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</si>
  <si>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</si>
  <si>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</si>
  <si>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</si>
  <si>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</si>
  <si>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</si>
  <si>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</si>
  <si>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</si>
  <si>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</si>
  <si>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</si>
  <si>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</si>
  <si>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</si>
  <si>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</si>
  <si>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</si>
  <si>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</si>
  <si>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</si>
  <si>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</si>
  <si>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</si>
  <si>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</si>
  <si>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</si>
  <si>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</si>
  <si>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</si>
  <si>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</si>
  <si>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</si>
  <si>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</si>
  <si>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</si>
  <si>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</si>
  <si>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</si>
  <si>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</si>
  <si>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</si>
  <si>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</si>
  <si>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</si>
  <si>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</si>
  <si>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</si>
  <si>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</si>
  <si>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</si>
  <si>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</si>
  <si>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</si>
  <si>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</si>
  <si>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</si>
  <si>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</si>
  <si>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</si>
  <si>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</si>
  <si>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</si>
  <si>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</si>
  <si>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</si>
  <si>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</si>
  <si>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</si>
  <si>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</si>
  <si>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</si>
  <si>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</si>
  <si>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</si>
  <si>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</si>
  <si>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</si>
  <si>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</si>
  <si>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</si>
  <si>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</si>
  <si>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</si>
  <si>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</si>
  <si>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</si>
  <si>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</si>
  <si>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</si>
  <si>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</si>
  <si>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</si>
  <si>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</si>
  <si>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</si>
  <si>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</si>
  <si>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</si>
  <si>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</si>
  <si>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</si>
  <si>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</si>
  <si>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</si>
  <si>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</si>
  <si>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</si>
  <si>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</si>
  <si>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</si>
  <si>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</si>
  <si>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</si>
  <si>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</si>
  <si>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</si>
  <si>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</si>
  <si>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</si>
  <si>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</si>
  <si>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</si>
  <si>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</si>
  <si>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</si>
  <si>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</si>
  <si>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</si>
  <si>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</si>
  <si>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</si>
  <si>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</si>
  <si>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</si>
  <si>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</si>
  <si>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</si>
  <si>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</si>
  <si>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</si>
  <si>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</si>
  <si>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</si>
  <si>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</si>
  <si>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</si>
  <si>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</si>
  <si>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</si>
  <si>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</si>
  <si>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</si>
  <si>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</si>
  <si>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</si>
  <si>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</si>
  <si>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</si>
  <si>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</si>
  <si>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</si>
  <si>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</si>
  <si>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</si>
  <si>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</si>
  <si>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</si>
  <si>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</si>
  <si>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</si>
  <si>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</si>
  <si>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</si>
  <si>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</si>
  <si>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</si>
  <si>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</si>
  <si>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</si>
  <si>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</si>
  <si>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</si>
  <si>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</si>
  <si>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</si>
  <si>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</si>
  <si>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</si>
  <si>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</si>
  <si>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</si>
  <si>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</si>
  <si>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</si>
  <si>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</si>
  <si>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</si>
  <si>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</si>
  <si>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</si>
  <si>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</si>
  <si>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</si>
  <si>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</si>
  <si>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</si>
  <si>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</si>
  <si>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</si>
  <si>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</si>
  <si>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</si>
  <si>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</si>
  <si>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</si>
  <si>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</si>
  <si>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</si>
  <si>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</si>
  <si>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</si>
  <si>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</si>
  <si>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</si>
  <si>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</si>
  <si>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</si>
  <si>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</si>
  <si>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</si>
  <si>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</si>
  <si>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</si>
  <si>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</si>
  <si>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</si>
  <si>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</si>
  <si>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</si>
  <si>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</si>
  <si>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</si>
  <si>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</si>
  <si>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</si>
  <si>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</si>
  <si>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</si>
  <si>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</si>
  <si>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</si>
  <si>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</si>
  <si>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</si>
  <si>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</si>
  <si>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</si>
  <si>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</si>
  <si>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</si>
  <si>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</si>
  <si>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</si>
  <si>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</si>
  <si>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</si>
  <si>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</si>
  <si>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</si>
  <si>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</si>
  <si>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</si>
  <si>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</si>
  <si>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</si>
  <si>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</si>
  <si>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</si>
  <si>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</si>
  <si>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</si>
  <si>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</si>
  <si>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</si>
  <si>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</si>
  <si>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</si>
  <si>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</si>
  <si>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</si>
  <si>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</si>
  <si>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</si>
  <si>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</si>
  <si>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</si>
  <si>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</si>
  <si>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</si>
  <si>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</si>
  <si>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</si>
  <si>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</si>
  <si>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</si>
  <si>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</si>
  <si>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</si>
  <si>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</si>
  <si>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</si>
  <si>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</si>
  <si>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</si>
  <si>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</si>
  <si>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</si>
  <si>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</si>
  <si>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</si>
  <si>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</si>
  <si>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</si>
  <si>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</si>
  <si>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</si>
  <si>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</si>
  <si>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</si>
  <si>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</si>
  <si>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</si>
  <si>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</si>
  <si>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</si>
  <si>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</si>
  <si>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</si>
  <si>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</si>
  <si>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</si>
  <si>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</si>
  <si>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</si>
  <si>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</si>
  <si>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</si>
  <si>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</si>
  <si>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</si>
  <si>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</si>
  <si>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</si>
  <si>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</si>
  <si>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</si>
  <si>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</si>
  <si>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</si>
  <si>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</si>
  <si>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</si>
  <si>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</si>
  <si>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</si>
  <si>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</si>
  <si>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</si>
  <si>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</si>
  <si>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</si>
  <si>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</si>
  <si>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</si>
  <si>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</si>
  <si>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</si>
  <si>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</si>
  <si>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</si>
  <si>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</si>
  <si>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</si>
  <si>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</si>
  <si>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</si>
  <si>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</si>
  <si>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</si>
  <si>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</si>
  <si>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</si>
  <si>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</si>
  <si>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</si>
  <si>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</si>
  <si>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</si>
  <si>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</si>
  <si>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</si>
  <si>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</si>
  <si>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</si>
  <si>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</si>
  <si>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</si>
  <si>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</si>
  <si>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</si>
  <si>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</si>
  <si>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</si>
  <si>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</si>
  <si>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</si>
  <si>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</si>
  <si>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</si>
  <si>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</si>
  <si>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</si>
  <si>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</si>
  <si>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</si>
  <si>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</si>
  <si>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</si>
  <si>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</si>
  <si>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</si>
  <si>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</si>
  <si>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</si>
  <si>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</si>
  <si>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</si>
  <si>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</si>
  <si>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</si>
  <si>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</si>
  <si>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</si>
  <si>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</si>
  <si>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</si>
  <si>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</si>
  <si>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</si>
  <si>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</si>
  <si>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</si>
  <si>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</si>
  <si>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</si>
  <si>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</si>
  <si>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</si>
  <si>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</si>
  <si>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</si>
  <si>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</si>
  <si>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</si>
  <si>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</si>
  <si>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</si>
  <si>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</si>
  <si>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</si>
  <si>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</si>
  <si>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</si>
  <si>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</si>
  <si>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</si>
  <si>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</si>
  <si>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</si>
  <si>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</si>
  <si>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</si>
  <si>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</si>
  <si>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</si>
  <si>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</si>
  <si>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</si>
  <si>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</si>
  <si>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</si>
  <si>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</si>
  <si>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</si>
  <si>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</si>
  <si>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</si>
  <si>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</si>
  <si>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</si>
  <si>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</si>
  <si>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</si>
  <si>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</si>
  <si>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</si>
  <si>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</si>
  <si>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</si>
  <si>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</si>
  <si>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</si>
  <si>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</si>
  <si>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</si>
  <si>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</si>
  <si>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</si>
  <si>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</si>
  <si>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</si>
  <si>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</si>
  <si>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</si>
  <si>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</si>
  <si>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</si>
  <si>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</si>
  <si>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</si>
  <si>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</si>
  <si>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</si>
  <si>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</si>
  <si>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</si>
  <si>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</si>
  <si>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</si>
  <si>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</si>
  <si>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</si>
  <si>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</si>
  <si>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</si>
  <si>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</si>
  <si>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</si>
  <si>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</si>
  <si>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</si>
  <si>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</si>
  <si>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</si>
  <si>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</si>
  <si>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</si>
  <si>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</si>
  <si>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</si>
  <si>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</si>
  <si>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</si>
  <si>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</si>
  <si>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</si>
  <si>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</si>
  <si>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</si>
  <si>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</si>
  <si>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</si>
  <si>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</si>
  <si>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</si>
  <si>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</si>
  <si>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</si>
  <si>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</si>
  <si>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</si>
  <si>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</si>
  <si>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</si>
  <si>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</si>
  <si>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</si>
  <si>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</si>
  <si>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</si>
  <si>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</si>
  <si>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</si>
  <si>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</si>
  <si>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</si>
  <si>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</si>
  <si>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</si>
  <si>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</si>
  <si>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</si>
  <si>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</si>
  <si>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</si>
  <si>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</si>
  <si>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</si>
  <si>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</si>
  <si>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</si>
  <si>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</si>
  <si>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</si>
  <si>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</si>
  <si>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</si>
  <si>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</si>
  <si>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</si>
  <si>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</si>
  <si>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</si>
  <si>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</si>
  <si>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</si>
  <si>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</si>
  <si>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</si>
  <si>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</si>
  <si>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</si>
  <si>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</si>
  <si>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</si>
  <si>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</si>
  <si>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</si>
  <si>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</si>
  <si>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</si>
  <si>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</si>
  <si>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</si>
  <si>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</si>
  <si>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</si>
  <si>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</si>
  <si>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</si>
  <si>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</si>
  <si>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</si>
  <si>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</si>
  <si>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</si>
  <si>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</si>
  <si>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</si>
  <si>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</si>
  <si>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</si>
  <si>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</si>
  <si>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</si>
  <si>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</si>
  <si>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</si>
  <si>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</si>
  <si>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</si>
  <si>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</si>
  <si>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</si>
  <si>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</si>
  <si>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</si>
  <si>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</si>
  <si>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</si>
  <si>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</si>
  <si>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</si>
  <si>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</si>
  <si>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</si>
  <si>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</si>
  <si>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</si>
  <si>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</si>
  <si>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</si>
  <si>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</si>
  <si>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</si>
  <si>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</si>
  <si>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</si>
  <si>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</si>
  <si>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</si>
  <si>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</si>
  <si>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</si>
  <si>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</si>
  <si>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</si>
  <si>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</si>
  <si>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</si>
  <si>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</si>
  <si>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</si>
  <si>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</si>
  <si>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</si>
  <si>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</si>
  <si>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</si>
  <si>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</si>
  <si>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</si>
  <si>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</si>
  <si>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</si>
  <si>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</si>
  <si>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</si>
  <si>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</si>
  <si>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</si>
  <si>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</si>
  <si>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</si>
  <si>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</si>
  <si>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</si>
  <si>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</si>
  <si>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</si>
  <si>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</si>
  <si>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</si>
  <si>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</si>
  <si>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</si>
  <si>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</si>
  <si>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</si>
  <si>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</si>
  <si>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</si>
  <si>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</si>
  <si>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</si>
  <si>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</si>
  <si>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</si>
  <si>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</si>
  <si>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</si>
  <si>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</si>
  <si>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</si>
  <si>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</si>
  <si>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</si>
  <si>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</si>
  <si>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</si>
  <si>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</si>
  <si>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</si>
  <si>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</si>
  <si>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</si>
  <si>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</si>
  <si>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</si>
  <si>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</si>
  <si>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</si>
  <si>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</si>
  <si>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</si>
  <si>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</si>
  <si>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</si>
  <si>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</si>
  <si>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</si>
  <si>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</si>
  <si>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</si>
  <si>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</si>
  <si>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</si>
  <si>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</si>
  <si>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</si>
  <si>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</si>
  <si>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</si>
  <si>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</si>
  <si>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</si>
  <si>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</si>
  <si>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</si>
  <si>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</si>
  <si>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</si>
  <si>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</si>
  <si>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</si>
  <si>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</si>
  <si>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</si>
  <si>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</si>
  <si>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</si>
  <si>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</si>
  <si>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</si>
  <si>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</si>
  <si>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</si>
  <si>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</si>
  <si>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</si>
  <si>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</si>
  <si>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</si>
  <si>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</si>
  <si>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</si>
  <si>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</si>
  <si>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</si>
  <si>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</si>
  <si>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</si>
  <si>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</si>
  <si>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</si>
  <si>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</si>
  <si>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</si>
  <si>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</si>
  <si>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</si>
  <si>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</si>
  <si>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</si>
  <si>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</si>
  <si>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</si>
  <si>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</si>
  <si>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</si>
  <si>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</si>
  <si>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</si>
  <si>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</si>
  <si>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</si>
  <si>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</si>
  <si>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</si>
  <si>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</si>
  <si>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</si>
  <si>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</si>
  <si>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</si>
  <si>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</si>
  <si>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</si>
  <si>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</si>
  <si>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</si>
  <si>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</si>
  <si>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</si>
  <si>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</si>
  <si>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</si>
  <si>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</si>
  <si>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</si>
  <si>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</si>
  <si>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</si>
  <si>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</si>
  <si>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</si>
  <si>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</si>
  <si>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</si>
  <si>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</si>
  <si>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</si>
  <si>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</si>
  <si>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</si>
  <si>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</si>
  <si>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</si>
  <si>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</si>
  <si>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</si>
  <si>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</si>
  <si>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</si>
  <si>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</si>
  <si>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</si>
  <si>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</si>
  <si>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</si>
  <si>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</si>
  <si>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</si>
  <si>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</si>
  <si>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</si>
  <si>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</si>
  <si>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</si>
  <si>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</si>
  <si>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</si>
  <si>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</si>
  <si>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</si>
  <si>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</si>
  <si>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</si>
  <si>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</si>
  <si>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</si>
  <si>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</si>
  <si>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</si>
  <si>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</si>
  <si>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</si>
  <si>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</si>
  <si>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</si>
  <si>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</si>
  <si>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</si>
  <si>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</si>
  <si>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</si>
  <si>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</si>
  <si>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</si>
  <si>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</si>
  <si>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</si>
  <si>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</si>
  <si>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</si>
  <si>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</si>
  <si>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</si>
  <si>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</si>
  <si>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</si>
  <si>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</si>
  <si>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</si>
  <si>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</si>
  <si>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</si>
  <si>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</si>
  <si>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</si>
  <si>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</si>
  <si>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</si>
  <si>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</si>
  <si>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</si>
  <si>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</si>
  <si>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</si>
  <si>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</si>
  <si>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</si>
  <si>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</si>
  <si>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</si>
  <si>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</si>
  <si>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</si>
  <si>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</si>
  <si>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</si>
  <si>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</si>
  <si>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</si>
  <si>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</si>
  <si>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</si>
  <si>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</si>
  <si>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</si>
  <si>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</si>
  <si>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</si>
  <si>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</si>
  <si>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</si>
  <si>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</si>
  <si>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</si>
  <si>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</si>
  <si>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</si>
  <si>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</si>
  <si>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</si>
  <si>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</si>
  <si>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</si>
  <si>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</si>
  <si>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</si>
  <si>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</si>
  <si>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</si>
  <si>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</si>
  <si>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</si>
  <si>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</si>
  <si>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</si>
  <si>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</si>
  <si>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</si>
  <si>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</si>
  <si>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</si>
  <si>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</si>
  <si>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</si>
  <si>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</si>
  <si>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</si>
  <si>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</si>
  <si>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</si>
  <si>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</si>
  <si>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</si>
  <si>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</si>
  <si>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</si>
  <si>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</si>
  <si>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</si>
  <si>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</si>
  <si>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</si>
  <si>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</si>
  <si>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</si>
  <si>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</si>
  <si>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</si>
  <si>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</si>
  <si>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</si>
  <si>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</si>
  <si>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</si>
  <si>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</si>
  <si>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</si>
  <si>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</si>
  <si>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</si>
  <si>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</si>
  <si>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</si>
  <si>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</si>
  <si>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</si>
  <si>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</si>
  <si>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</si>
  <si>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</si>
  <si>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</si>
  <si>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</si>
  <si>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</si>
  <si>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</si>
  <si>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</si>
  <si>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</si>
  <si>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</si>
  <si>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</si>
  <si>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</si>
  <si>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</si>
  <si>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</si>
  <si>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</si>
  <si>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</si>
  <si>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</si>
  <si>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</si>
  <si>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</si>
  <si>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</si>
  <si>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</si>
  <si>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</si>
  <si>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</si>
  <si>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</si>
  <si>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</si>
  <si>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</si>
  <si>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</si>
  <si>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</si>
  <si>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</si>
  <si>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</si>
  <si>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</si>
  <si>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</si>
  <si>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</si>
  <si>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</si>
  <si>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</si>
  <si>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</si>
  <si>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</si>
  <si>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</si>
  <si>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</si>
  <si>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</si>
  <si>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</si>
  <si>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</si>
  <si>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</si>
  <si>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</si>
  <si>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</si>
  <si>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</si>
  <si>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</si>
  <si>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</si>
  <si>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</si>
  <si>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</si>
  <si>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</si>
  <si>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</si>
  <si>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</si>
  <si>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</si>
  <si>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</si>
  <si>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</si>
  <si>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</si>
  <si>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</si>
  <si>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</si>
  <si>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</si>
  <si>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</si>
  <si>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</si>
  <si>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</si>
  <si>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</si>
  <si>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</si>
  <si>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</si>
  <si>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</si>
  <si>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</si>
  <si>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</si>
  <si>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</si>
  <si>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</si>
  <si>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</si>
  <si>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</si>
  <si>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</si>
  <si>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</si>
  <si>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</si>
  <si>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</si>
  <si>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</si>
  <si>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</si>
  <si>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</si>
  <si>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</si>
  <si>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</si>
  <si>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</si>
  <si>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</si>
  <si>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</si>
  <si>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</si>
  <si>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</si>
  <si>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</si>
  <si>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</si>
  <si>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</si>
  <si>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</si>
  <si>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</si>
  <si>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</si>
  <si>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</si>
  <si>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</si>
  <si>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</si>
  <si>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</si>
  <si>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</si>
  <si>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</si>
  <si>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</si>
  <si>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</si>
  <si>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</si>
  <si>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</si>
  <si>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</si>
  <si>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</si>
  <si>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</si>
  <si>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</si>
  <si>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</si>
  <si>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</si>
  <si>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</si>
  <si>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</si>
  <si>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</si>
  <si>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</si>
  <si>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</si>
  <si>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</si>
  <si>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</si>
  <si>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</si>
  <si>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</si>
  <si>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</si>
  <si>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</si>
  <si>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</si>
  <si>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</si>
  <si>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</si>
  <si>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</si>
  <si>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</si>
  <si>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</si>
  <si>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</si>
  <si>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</si>
  <si>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</si>
  <si>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</si>
  <si>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</si>
  <si>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</si>
  <si>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</si>
  <si>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</si>
  <si>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</si>
  <si>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</si>
  <si>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</si>
  <si>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</si>
  <si>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</si>
  <si>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</si>
  <si>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</si>
  <si>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</si>
  <si>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</si>
  <si>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</si>
  <si>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</si>
  <si>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</si>
  <si>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</si>
  <si>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</si>
  <si>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</si>
  <si>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</si>
  <si>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</si>
  <si>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</si>
  <si>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</si>
  <si>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</si>
  <si>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</si>
  <si>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</si>
  <si>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</si>
  <si>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</si>
  <si>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</si>
  <si>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</si>
  <si>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</si>
  <si>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</si>
  <si>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</si>
  <si>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</si>
  <si>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</si>
  <si>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</si>
  <si>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</si>
  <si>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</si>
  <si>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</si>
  <si>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</si>
  <si>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</si>
  <si>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</si>
  <si>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</si>
  <si>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</si>
  <si>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</si>
  <si>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</si>
  <si>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</si>
  <si>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</si>
  <si>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</si>
  <si>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</si>
  <si>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</si>
  <si>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</si>
  <si>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</si>
  <si>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</si>
  <si>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</si>
  <si>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</si>
  <si>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</si>
  <si>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</si>
  <si>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</si>
  <si>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</si>
  <si>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</si>
  <si>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</si>
  <si>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</si>
  <si>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</si>
  <si>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</si>
  <si>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</si>
  <si>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</si>
  <si>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</si>
  <si>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</si>
  <si>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</si>
  <si>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</si>
  <si>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</si>
  <si>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</si>
  <si>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</si>
  <si>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</si>
  <si>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</si>
  <si>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</si>
  <si>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</si>
  <si>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</si>
  <si>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</si>
  <si>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</si>
  <si>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</si>
  <si>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</si>
  <si>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</si>
  <si>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</si>
  <si>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</si>
  <si>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</si>
  <si>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</si>
  <si>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</si>
  <si>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</si>
  <si>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</si>
  <si>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</si>
  <si>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</si>
  <si>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</si>
  <si>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</si>
  <si>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</si>
  <si>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</si>
  <si>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</si>
  <si>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</si>
  <si>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</si>
  <si>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</si>
  <si>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</si>
  <si>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</si>
  <si>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</si>
  <si>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</si>
  <si>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</si>
  <si>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</si>
  <si>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</si>
  <si>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</si>
  <si>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</si>
  <si>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</si>
  <si>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</si>
  <si>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</si>
  <si>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</si>
  <si>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</si>
  <si>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</si>
  <si>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</si>
  <si>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</si>
  <si>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</si>
  <si>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</si>
  <si>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</si>
  <si>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</si>
  <si>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</si>
  <si>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</si>
  <si>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</si>
  <si>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</si>
  <si>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</si>
  <si>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</si>
  <si>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</si>
  <si>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</si>
  <si>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</si>
  <si>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</si>
  <si>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</si>
  <si>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</si>
  <si>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</si>
  <si>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</si>
  <si>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</si>
  <si>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</si>
  <si>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</si>
  <si>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</si>
  <si>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</si>
  <si>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</si>
  <si>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</si>
  <si>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</si>
  <si>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</si>
  <si>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</si>
  <si>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</si>
  <si>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</si>
  <si>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</si>
  <si>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</si>
  <si>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</si>
  <si>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</si>
  <si>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</si>
  <si>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</si>
  <si>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</si>
  <si>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</si>
  <si>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</si>
  <si>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</si>
  <si>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</si>
  <si>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</si>
  <si>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</si>
  <si>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</si>
  <si>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</si>
  <si>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</si>
  <si>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</si>
  <si>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</si>
  <si>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</si>
  <si>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</si>
  <si>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</si>
  <si>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</si>
  <si>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</si>
  <si>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</si>
  <si>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</si>
  <si>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</si>
  <si>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</si>
  <si>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</si>
  <si>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</si>
  <si>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</si>
  <si>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</si>
  <si>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</si>
  <si>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</si>
  <si>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</si>
  <si>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</si>
  <si>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</si>
  <si>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</si>
  <si>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</si>
  <si>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</si>
  <si>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</si>
  <si>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</si>
  <si>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</si>
  <si>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</si>
  <si>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</si>
  <si>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</si>
  <si>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</si>
  <si>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</si>
  <si>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</si>
  <si>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</si>
  <si>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</si>
  <si>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</si>
  <si>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</si>
  <si>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</si>
  <si>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</si>
  <si>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</si>
  <si>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</si>
  <si>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</si>
  <si>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</si>
  <si>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</si>
  <si>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</si>
  <si>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</si>
  <si>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</si>
  <si>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</si>
  <si>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</si>
  <si>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</si>
  <si>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</si>
  <si>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</si>
  <si>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</si>
  <si>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</si>
  <si>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</si>
  <si>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</si>
  <si>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</si>
  <si>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</si>
  <si>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</si>
  <si>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</si>
  <si>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</si>
  <si>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</si>
  <si>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</si>
  <si>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</si>
  <si>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</si>
  <si>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</si>
  <si>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</si>
  <si>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</si>
  <si>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</si>
  <si>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</si>
  <si>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</si>
  <si>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</si>
  <si>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</si>
  <si>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</si>
  <si>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</si>
  <si>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</si>
  <si>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</si>
  <si>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</si>
  <si>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</si>
  <si>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</si>
  <si>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</si>
  <si>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</si>
  <si>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</si>
  <si>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</si>
  <si>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</si>
  <si>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</si>
  <si>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</si>
  <si>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</si>
  <si>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</si>
  <si>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</si>
  <si>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</si>
  <si>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</si>
  <si>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</si>
  <si>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</si>
  <si>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</si>
  <si>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</si>
  <si>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</si>
  <si>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</si>
  <si>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</si>
  <si>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</si>
  <si>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</si>
  <si>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</si>
  <si>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</si>
  <si>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</si>
  <si>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</si>
  <si>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</si>
  <si>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</si>
  <si>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</si>
  <si>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</si>
  <si>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</si>
  <si>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</si>
  <si>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</si>
  <si>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</si>
  <si>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</si>
  <si>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</si>
  <si>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</si>
  <si>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</si>
  <si>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</si>
  <si>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</si>
  <si>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</si>
  <si>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</si>
  <si>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</si>
  <si>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</si>
  <si>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</si>
  <si>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</si>
  <si>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</si>
  <si>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</si>
  <si>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</si>
  <si>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</si>
  <si>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</si>
  <si>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</si>
  <si>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</si>
  <si>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</si>
  <si>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</si>
  <si>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</si>
  <si>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</si>
  <si>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</si>
  <si>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</si>
  <si>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</si>
  <si>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</si>
  <si>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</si>
  <si>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</si>
  <si>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</si>
  <si>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</si>
  <si>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</si>
  <si>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</si>
  <si>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</si>
  <si>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</si>
  <si>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</si>
  <si>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</si>
  <si>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</si>
  <si>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</si>
  <si>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</si>
  <si>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</si>
  <si>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</si>
  <si>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</si>
  <si>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</si>
  <si>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</si>
  <si>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</si>
  <si>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</si>
  <si>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</si>
  <si>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</si>
  <si>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</si>
  <si>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</si>
  <si>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</si>
  <si>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</si>
  <si>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</si>
  <si>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</si>
  <si>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</si>
  <si>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</si>
  <si>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</si>
  <si>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</si>
  <si>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</si>
  <si>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</si>
  <si>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</si>
  <si>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</si>
  <si>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</si>
  <si>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</si>
  <si>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</si>
  <si>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</si>
  <si>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</si>
  <si>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</si>
  <si>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</si>
  <si>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</si>
  <si>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</si>
  <si>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</si>
  <si>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</si>
  <si>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</si>
  <si>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</si>
  <si>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</si>
  <si>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</si>
  <si>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</si>
  <si>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</si>
  <si>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</si>
  <si>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</si>
  <si>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</si>
  <si>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</si>
  <si>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</si>
  <si>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</si>
  <si>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</si>
  <si>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</si>
  <si>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</si>
  <si>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</si>
  <si>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</si>
  <si>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</si>
  <si>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</si>
  <si>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</si>
  <si>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</si>
  <si>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</si>
  <si>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</si>
  <si>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</si>
  <si>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</si>
  <si>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</si>
  <si>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</si>
  <si>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</si>
  <si>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</si>
  <si>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</si>
  <si>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</si>
  <si>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</si>
  <si>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</si>
  <si>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</si>
  <si>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</si>
  <si>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</si>
  <si>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</si>
  <si>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</si>
  <si>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</si>
  <si>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</si>
  <si>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</si>
  <si>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</si>
  <si>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</si>
  <si>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</si>
  <si>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</si>
  <si>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</si>
  <si>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</si>
  <si>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</si>
  <si>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</si>
  <si>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</si>
  <si>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</si>
  <si>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</si>
  <si>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</si>
  <si>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</si>
  <si>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</si>
  <si>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</si>
  <si>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</si>
  <si>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</si>
  <si>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</si>
  <si>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</si>
  <si>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</si>
  <si>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</si>
  <si>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</si>
  <si>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</si>
  <si>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</si>
  <si>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</si>
  <si>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</si>
  <si>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</si>
  <si>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</si>
  <si>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</si>
  <si>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</si>
  <si>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</si>
  <si>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</si>
  <si>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</si>
  <si>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</si>
  <si>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</si>
  <si>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</si>
  <si>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</si>
  <si>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</si>
  <si>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</si>
  <si>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</si>
  <si>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</si>
  <si>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</si>
  <si>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</si>
  <si>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</si>
  <si>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</si>
  <si>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</si>
  <si>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</si>
  <si>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</si>
  <si>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</si>
  <si>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</si>
  <si>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</si>
  <si>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</si>
  <si>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</si>
  <si>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</si>
  <si>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</si>
  <si>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</si>
  <si>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</si>
  <si>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</si>
  <si>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</si>
  <si>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</si>
  <si>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</si>
  <si>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</si>
  <si>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</si>
  <si>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</si>
  <si>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</si>
  <si>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</si>
  <si>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</si>
  <si>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</si>
  <si>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</si>
  <si>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</si>
  <si>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</si>
  <si>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</si>
  <si>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</si>
  <si>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</si>
  <si>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</si>
  <si>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</si>
  <si>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</si>
  <si>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</si>
  <si>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</si>
  <si>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</si>
  <si>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</si>
  <si>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</si>
  <si>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</si>
  <si>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</si>
  <si>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</si>
  <si>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</si>
  <si>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</si>
  <si>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</si>
  <si>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</si>
  <si>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</si>
  <si>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</si>
  <si>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</si>
  <si>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</si>
  <si>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</si>
  <si>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</si>
  <si>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</si>
  <si>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</si>
  <si>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</si>
  <si>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</si>
  <si>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</si>
  <si>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</si>
  <si>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</si>
  <si>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</si>
  <si>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</si>
  <si>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</si>
  <si>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</si>
  <si>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</si>
  <si>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</si>
  <si>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</si>
  <si>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</si>
  <si>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</si>
  <si>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</si>
  <si>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</si>
  <si>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</si>
  <si>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</si>
  <si>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</si>
  <si>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</si>
  <si>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</si>
  <si>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</si>
  <si>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</si>
  <si>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</si>
  <si>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</si>
  <si>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</si>
  <si>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</si>
  <si>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</si>
  <si>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</si>
  <si>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</si>
  <si>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</si>
  <si>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</si>
  <si>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</si>
  <si>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</si>
  <si>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</si>
  <si>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</si>
  <si>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</si>
  <si>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</si>
  <si>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</si>
  <si>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</si>
  <si>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</si>
  <si>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</si>
  <si>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</si>
  <si>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</si>
  <si>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</si>
  <si>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</si>
  <si>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</si>
  <si>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</si>
  <si>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</si>
  <si>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</si>
  <si>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</si>
  <si>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</si>
  <si>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</si>
  <si>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</si>
  <si>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</si>
  <si>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</si>
  <si>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</si>
  <si>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</si>
  <si>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</si>
  <si>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</si>
  <si>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</si>
  <si>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</si>
  <si>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</si>
  <si>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</si>
  <si>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</si>
  <si>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</si>
  <si>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</si>
  <si>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</si>
  <si>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</si>
  <si>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</si>
  <si>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</si>
  <si>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</si>
  <si>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</si>
  <si>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</si>
  <si>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</si>
  <si>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</si>
  <si>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</si>
  <si>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</si>
  <si>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</si>
  <si>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</si>
  <si>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</si>
  <si>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</si>
  <si>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</si>
  <si>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</si>
  <si>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</si>
  <si>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</si>
  <si>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</si>
  <si>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</si>
  <si>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</si>
  <si>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</si>
  <si>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</si>
  <si>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</si>
  <si>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</si>
  <si>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</si>
  <si>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</si>
  <si>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</si>
  <si>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</si>
  <si>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</si>
  <si>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</si>
  <si>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</si>
  <si>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</si>
  <si>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</si>
  <si>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</si>
  <si>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</si>
  <si>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</si>
  <si>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</si>
  <si>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</si>
  <si>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</si>
  <si>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</si>
  <si>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</si>
  <si>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</si>
  <si>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</si>
  <si>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</si>
  <si>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</si>
  <si>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</si>
  <si>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</si>
  <si>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</si>
  <si>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</si>
  <si>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</si>
  <si>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</si>
  <si>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</si>
  <si>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</si>
  <si>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</si>
  <si>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</si>
  <si>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</si>
  <si>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</si>
  <si>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</si>
  <si>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</si>
  <si>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</si>
  <si>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</si>
  <si>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</si>
  <si>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</si>
  <si>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</si>
  <si>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</si>
  <si>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</si>
  <si>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</si>
  <si>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</si>
  <si>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</si>
  <si>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</si>
  <si>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</si>
  <si>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</si>
  <si>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</si>
  <si>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</si>
  <si>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</si>
  <si>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</si>
  <si>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</si>
  <si>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</si>
  <si>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</si>
  <si>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</si>
  <si>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</si>
  <si>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</si>
  <si>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</si>
  <si>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</si>
  <si>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</si>
  <si>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</si>
  <si>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</si>
  <si>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</si>
  <si>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</si>
  <si>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</si>
  <si>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</si>
  <si>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</si>
  <si>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</si>
  <si>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</si>
  <si>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</si>
  <si>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</si>
  <si>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</si>
  <si>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</si>
  <si>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</si>
  <si>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</si>
  <si>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</si>
  <si>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</si>
  <si>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</si>
  <si>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</si>
  <si>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</si>
  <si>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</si>
  <si>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</si>
  <si>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</si>
  <si>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</si>
  <si>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</si>
  <si>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</si>
  <si>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</si>
  <si>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</si>
  <si>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</si>
  <si>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</si>
  <si>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</si>
  <si>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</si>
  <si>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</si>
  <si>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</si>
  <si>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</si>
  <si>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</si>
  <si>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</si>
  <si>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</si>
  <si>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</si>
  <si>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</si>
  <si>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</si>
  <si>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</si>
  <si>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</si>
  <si>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</si>
  <si>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</si>
  <si>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</si>
  <si>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</si>
  <si>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</si>
  <si>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</si>
  <si>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</si>
  <si>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</si>
  <si>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</si>
  <si>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</si>
  <si>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</si>
  <si>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</si>
  <si>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</si>
  <si>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</si>
  <si>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</si>
  <si>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</si>
  <si>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</si>
  <si>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</si>
  <si>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</si>
  <si>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</si>
  <si>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</si>
  <si>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</si>
  <si>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</si>
  <si>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</si>
  <si>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</si>
  <si>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</si>
  <si>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</si>
  <si>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</si>
  <si>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</si>
  <si>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</si>
  <si>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</si>
  <si>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</si>
  <si>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</si>
  <si>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</si>
  <si>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</si>
  <si>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</si>
  <si>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</si>
  <si>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</si>
  <si>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</si>
  <si>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</si>
  <si>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</si>
  <si>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</si>
  <si>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</si>
  <si>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</si>
  <si>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</si>
  <si>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</si>
  <si>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</si>
  <si>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</si>
  <si>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</si>
  <si>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</si>
  <si>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</si>
  <si>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</si>
  <si>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</si>
  <si>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</si>
  <si>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</si>
  <si>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</si>
  <si>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</si>
  <si>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</si>
  <si>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</si>
  <si>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</si>
  <si>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</si>
  <si>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</si>
  <si>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</si>
  <si>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</si>
  <si>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</si>
  <si>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</si>
  <si>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</si>
  <si>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</si>
  <si>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</si>
  <si>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</si>
  <si>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</si>
  <si>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</si>
  <si>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</si>
  <si>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</si>
  <si>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</si>
  <si>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</si>
  <si>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</si>
  <si>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</si>
  <si>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</si>
  <si>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</si>
  <si>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</si>
  <si>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</si>
  <si>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</si>
  <si>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</si>
  <si>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</si>
  <si>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</si>
  <si>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</si>
  <si>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</si>
  <si>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</si>
  <si>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</si>
  <si>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</si>
  <si>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</si>
  <si>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</si>
  <si>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</si>
  <si>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</si>
  <si>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</si>
  <si>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</si>
  <si>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</si>
  <si>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</si>
  <si>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</si>
  <si>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</si>
  <si>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</si>
  <si>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</si>
  <si>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</si>
  <si>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</si>
  <si>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</si>
  <si>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</si>
  <si>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</si>
  <si>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</si>
  <si>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</si>
  <si>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</si>
  <si>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</si>
  <si>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</si>
  <si>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</si>
  <si>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</si>
  <si>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</si>
  <si>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</si>
  <si>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</si>
  <si>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</si>
  <si>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</si>
  <si>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</si>
  <si>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</si>
  <si>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</si>
  <si>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</si>
  <si>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</si>
  <si>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</si>
  <si>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</si>
  <si>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</si>
  <si>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</si>
  <si>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</si>
  <si>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</si>
  <si>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</si>
  <si>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</si>
  <si>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</si>
  <si>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</si>
  <si>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</si>
  <si>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</si>
  <si>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</si>
  <si>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</si>
  <si>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</si>
  <si>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</si>
  <si>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</si>
  <si>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</si>
  <si>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</si>
  <si>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</si>
  <si>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</si>
  <si>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</si>
  <si>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</si>
  <si>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</si>
  <si>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</si>
  <si>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</si>
  <si>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</si>
  <si>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</si>
  <si>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</si>
  <si>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</si>
  <si>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</si>
  <si>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</si>
  <si>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</si>
  <si>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</si>
  <si>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</si>
  <si>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</si>
  <si>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</si>
  <si>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</si>
  <si>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</si>
  <si>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</si>
  <si>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</si>
  <si>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</si>
  <si>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</si>
  <si>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</si>
  <si>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</si>
  <si>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</si>
  <si>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</si>
  <si>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</si>
  <si>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</si>
  <si>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</si>
  <si>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</si>
  <si>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</si>
  <si>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</si>
  <si>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</si>
  <si>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</si>
  <si>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</si>
  <si>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</si>
  <si>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</si>
  <si>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</si>
  <si>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</si>
  <si>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</si>
  <si>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</si>
  <si>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</si>
  <si>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</si>
  <si>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</si>
  <si>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</si>
  <si>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</si>
  <si>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</si>
  <si>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</si>
  <si>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</si>
  <si>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</si>
  <si>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</si>
  <si>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</si>
  <si>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</si>
  <si>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</si>
  <si>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</si>
  <si>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</si>
  <si>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</si>
  <si>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</si>
  <si>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</si>
  <si>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</si>
  <si>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</si>
  <si>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</si>
  <si>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</si>
  <si>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</si>
  <si>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</si>
  <si>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</si>
  <si>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</si>
  <si>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</si>
  <si>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</si>
  <si>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</si>
  <si>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</si>
  <si>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</si>
  <si>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</si>
  <si>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</si>
  <si>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</si>
  <si>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</si>
  <si>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</si>
  <si>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</si>
  <si>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</si>
  <si>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</si>
  <si>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</si>
  <si>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</si>
  <si>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</si>
  <si>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</si>
  <si>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</si>
  <si>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</si>
  <si>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</si>
  <si>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</si>
  <si>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</si>
  <si>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</si>
  <si>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</si>
  <si>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</si>
  <si>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</si>
  <si>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</si>
  <si>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</si>
  <si>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</si>
  <si>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</si>
  <si>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</si>
  <si>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</si>
  <si>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</si>
  <si>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</si>
  <si>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</si>
  <si>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</si>
  <si>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</si>
  <si>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</si>
  <si>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</si>
  <si>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</si>
  <si>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</si>
  <si>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</si>
  <si>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</si>
  <si>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</si>
  <si>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</si>
  <si>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</si>
  <si>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</si>
  <si>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</si>
  <si>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</si>
  <si>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</si>
  <si>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</si>
  <si>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</si>
  <si>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</si>
  <si>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</si>
  <si>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</si>
  <si>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</si>
  <si>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</si>
  <si>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</si>
  <si>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</si>
  <si>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</si>
  <si>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</si>
  <si>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</si>
  <si>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</si>
  <si>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</si>
  <si>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</si>
  <si>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</si>
  <si>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</si>
  <si>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</si>
  <si>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</si>
  <si>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</si>
  <si>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</si>
  <si>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</si>
  <si>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</si>
  <si>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</si>
  <si>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</si>
  <si>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</si>
  <si>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</si>
  <si>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</si>
  <si>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</si>
  <si>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</si>
  <si>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</si>
  <si>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</si>
  <si>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</si>
  <si>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</si>
  <si>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</si>
  <si>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</si>
  <si>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</si>
  <si>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</si>
  <si>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</si>
  <si>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</si>
  <si>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</si>
  <si>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</si>
  <si>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</si>
  <si>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</si>
  <si>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</si>
  <si>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</si>
  <si>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</si>
  <si>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</si>
  <si>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</si>
  <si>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</si>
  <si>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</si>
  <si>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</si>
  <si>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</si>
  <si>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</si>
  <si>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</si>
  <si>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</si>
  <si>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</si>
  <si>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</si>
  <si>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</si>
  <si>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</si>
  <si>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</si>
  <si>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</si>
  <si>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</si>
  <si>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</si>
  <si>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</si>
  <si>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</si>
  <si>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</si>
  <si>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</si>
  <si>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</si>
  <si>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</si>
  <si>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</si>
  <si>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</si>
  <si>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</si>
  <si>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</si>
  <si>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</si>
  <si>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</si>
  <si>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</si>
  <si>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</si>
  <si>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</si>
  <si>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</si>
  <si>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</si>
  <si>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</si>
  <si>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</si>
  <si>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</si>
  <si>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</si>
  <si>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</si>
  <si>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</si>
  <si>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</si>
  <si>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</si>
  <si>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</si>
  <si>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</si>
  <si>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</si>
  <si>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</si>
  <si>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</si>
  <si>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</si>
  <si>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</si>
  <si>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</si>
  <si>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</si>
  <si>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</si>
  <si>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</si>
  <si>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</si>
  <si>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</si>
  <si>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</si>
  <si>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</si>
  <si>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</si>
  <si>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</si>
  <si>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</si>
  <si>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</si>
  <si>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</si>
  <si>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</si>
  <si>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</si>
  <si>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</si>
  <si>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</si>
  <si>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</si>
  <si>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</si>
  <si>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</si>
  <si>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</si>
  <si>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</si>
  <si>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</si>
  <si>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</si>
  <si>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</si>
  <si>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</si>
  <si>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</si>
  <si>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</si>
  <si>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</si>
  <si>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</si>
  <si>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</si>
  <si>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</si>
  <si>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</si>
  <si>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</si>
  <si>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</si>
  <si>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</si>
  <si>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</si>
  <si>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</si>
  <si>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</si>
  <si>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</si>
  <si>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</si>
  <si>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</si>
  <si>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</si>
  <si>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</si>
  <si>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</si>
  <si>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</si>
  <si>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</si>
  <si>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</si>
  <si>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</si>
  <si>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</si>
  <si>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</si>
  <si>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</si>
  <si>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</si>
  <si>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</si>
  <si>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</si>
  <si>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</si>
  <si>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</si>
  <si>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</si>
  <si>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</si>
  <si>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</si>
  <si>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</si>
  <si>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</si>
  <si>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</si>
  <si>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</si>
  <si>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</si>
  <si>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</si>
  <si>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</si>
  <si>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</si>
  <si>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</si>
  <si>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</si>
  <si>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</si>
  <si>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</si>
  <si>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</si>
  <si>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</si>
  <si>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</si>
  <si>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</si>
  <si>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</si>
  <si>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</si>
  <si>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</si>
  <si>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</si>
  <si>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</si>
  <si>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</si>
  <si>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</si>
  <si>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</si>
  <si>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</si>
  <si>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</si>
  <si>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</si>
  <si>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</si>
  <si>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</si>
  <si>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</si>
  <si>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</si>
  <si>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</si>
  <si>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</si>
  <si>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</si>
  <si>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</si>
  <si>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</si>
  <si>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</si>
  <si>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</si>
  <si>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</si>
  <si>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</si>
  <si>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</si>
  <si>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</si>
  <si>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</si>
  <si>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</si>
  <si>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</si>
  <si>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</si>
  <si>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</si>
  <si>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</si>
  <si>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</si>
  <si>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</si>
  <si>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</si>
  <si>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</si>
  <si>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</si>
  <si>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</si>
  <si>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</si>
  <si>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</si>
  <si>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</si>
  <si>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</si>
  <si>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</si>
  <si>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</si>
  <si>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</si>
  <si>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</si>
  <si>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</si>
  <si>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</si>
  <si>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</si>
  <si>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</si>
  <si>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</si>
  <si>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</si>
  <si>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</si>
  <si>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</si>
  <si>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</si>
  <si>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</si>
  <si>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</si>
  <si>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</si>
  <si>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</si>
  <si>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</si>
  <si>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</si>
  <si>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</si>
  <si>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</si>
  <si>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</si>
  <si>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 xml:space="preserve">JOEL HOPKINS </t>
  </si>
  <si>
    <t>314 S MCCOY STREET</t>
  </si>
  <si>
    <t>GRANVILLE</t>
  </si>
  <si>
    <t>IL</t>
  </si>
  <si>
    <t>815-339-6630</t>
  </si>
  <si>
    <t>815-339-6643</t>
  </si>
  <si>
    <t>JOEL@HOPKINSOFFICE.COM</t>
  </si>
  <si>
    <t>Total Federal Expenditures for 7/1/18-6/30/19</t>
  </si>
  <si>
    <t>066-004501</t>
  </si>
  <si>
    <t>BUREAU</t>
  </si>
  <si>
    <t>400 N GALENA STREET PO BOX 267</t>
  </si>
  <si>
    <t>TISKILWA</t>
  </si>
  <si>
    <t>SPEDMAN2002@GMAIL.COM</t>
  </si>
  <si>
    <t>EGAN HICKS</t>
  </si>
  <si>
    <t xml:space="preserve">SPEDMAN2002@GMAIL.COM </t>
  </si>
  <si>
    <t>815-915-4460</t>
  </si>
  <si>
    <t>815-401-0000</t>
  </si>
  <si>
    <t xml:space="preserve">Vonage </t>
  </si>
  <si>
    <t xml:space="preserve">EDUCATION - OPERATIONS &amp; MAINTENANCE PLANT SERVICES - PURCHASED SERVICES </t>
  </si>
  <si>
    <t>10-2540-300</t>
  </si>
  <si>
    <t xml:space="preserve">PRINCETON ELEMENTARY SCHOOL DISTRICT </t>
  </si>
  <si>
    <t xml:space="preserve">LADD CCSD </t>
  </si>
  <si>
    <t xml:space="preserve">THE JOINT AGREEMENT DOES NOT HAVE ITS OWN TRS ACCOUNT BUT ITS MEMBERS ARE HANDLED THROUGH THE ADMINISTRATIVE DISTRICT'S (PRINCETON ELEMENTARY SCHOOL DISTRICT #115) TRS ACCOUNT. THE ON-BEHALF REVENUE AND EXPENSE ARE SHOWN ON THAT DISTRICT'S ANNUAL FINANCIAL REPORT. </t>
  </si>
  <si>
    <t>10-1999 MISCELLANEOUS INCOME- OTHER INCOME, $479</t>
  </si>
  <si>
    <t>BEHAVIOR DISORDER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</si>
</sst>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7" fillId="0" borderId="0" xfId="0" applyFont="1" applyAlignment="1">
      <alignment wrapText="1"/>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1247775</xdr:colOff>
          <xdr:row>0</xdr:row>
          <xdr:rowOff>47625</xdr:rowOff>
        </xdr:from>
        <xdr:to>
          <xdr:col>1</xdr:col>
          <xdr:colOff>2162175</xdr:colOff>
          <xdr:row>4</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6" t="s">
        <v>405</v>
      </c>
      <c r="J1" s="1987"/>
      <c r="K1" s="1987"/>
      <c r="L1" s="1987"/>
      <c r="M1" s="1987"/>
      <c r="N1" s="1987"/>
      <c r="O1" s="1987"/>
      <c r="P1" s="1987"/>
      <c r="Q1" s="1987"/>
      <c r="R1" s="1987"/>
      <c r="S1" s="1987"/>
    </row>
    <row r="2" spans="1:28" ht="12" customHeight="1" x14ac:dyDescent="0.2">
      <c r="A2" s="47" t="s">
        <v>1992</v>
      </c>
      <c r="D2" s="48"/>
      <c r="I2" s="1988" t="s">
        <v>979</v>
      </c>
      <c r="J2" s="1987"/>
      <c r="K2" s="1987"/>
      <c r="L2" s="1987"/>
      <c r="M2" s="1987"/>
      <c r="N2" s="1987"/>
      <c r="O2" s="1987"/>
      <c r="P2" s="1987"/>
      <c r="Q2" s="1987"/>
      <c r="R2" s="1987"/>
      <c r="S2" s="1987"/>
    </row>
    <row r="3" spans="1:28" ht="12" customHeight="1" x14ac:dyDescent="0.2">
      <c r="A3" s="155" t="s">
        <v>1944</v>
      </c>
      <c r="B3" s="156"/>
      <c r="C3" s="156"/>
      <c r="D3" s="157"/>
      <c r="I3" s="1988" t="s">
        <v>52</v>
      </c>
      <c r="J3" s="1987"/>
      <c r="K3" s="1987"/>
      <c r="L3" s="1987"/>
      <c r="M3" s="1987"/>
      <c r="N3" s="1987"/>
      <c r="O3" s="1987"/>
      <c r="P3" s="1987"/>
      <c r="Q3" s="1987"/>
      <c r="R3" s="1987"/>
      <c r="S3" s="1987"/>
    </row>
    <row r="4" spans="1:28" ht="12" customHeight="1" x14ac:dyDescent="0.2">
      <c r="A4" s="37"/>
      <c r="I4" s="1988" t="s">
        <v>524</v>
      </c>
      <c r="J4" s="1987"/>
      <c r="K4" s="1987"/>
      <c r="L4" s="1987"/>
      <c r="M4" s="1987"/>
      <c r="N4" s="1987"/>
      <c r="O4" s="1987"/>
      <c r="P4" s="1987"/>
      <c r="Q4" s="1987"/>
      <c r="R4" s="1987"/>
      <c r="S4" s="1987"/>
    </row>
    <row r="5" spans="1:28" ht="14.1" customHeight="1" x14ac:dyDescent="0.2">
      <c r="B5" s="104"/>
      <c r="C5" s="26" t="s">
        <v>910</v>
      </c>
      <c r="D5" s="84"/>
      <c r="E5" s="84"/>
      <c r="H5" s="38"/>
      <c r="I5" s="1996" t="s">
        <v>680</v>
      </c>
      <c r="J5" s="1995"/>
      <c r="K5" s="1995"/>
      <c r="L5" s="1995"/>
      <c r="M5" s="1995"/>
      <c r="N5" s="1995"/>
      <c r="O5" s="1995"/>
      <c r="P5" s="1995"/>
      <c r="Q5" s="1995"/>
      <c r="R5" s="1995"/>
      <c r="S5" s="1995"/>
    </row>
    <row r="6" spans="1:28" ht="14.1" customHeight="1" x14ac:dyDescent="0.2">
      <c r="B6" s="104" t="s">
        <v>2063</v>
      </c>
      <c r="C6" s="26" t="s">
        <v>911</v>
      </c>
      <c r="D6" s="84"/>
      <c r="E6" s="84"/>
      <c r="I6" s="1994" t="s">
        <v>883</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674</v>
      </c>
      <c r="J9" s="1992"/>
      <c r="K9" s="1992"/>
      <c r="L9" s="1992"/>
      <c r="M9" s="1992"/>
      <c r="N9" s="1992"/>
      <c r="O9" s="1992"/>
      <c r="P9" s="1992"/>
      <c r="Q9" s="1992"/>
      <c r="R9" s="1992"/>
      <c r="S9" s="1993"/>
      <c r="T9" s="2007" t="s">
        <v>533</v>
      </c>
      <c r="U9" s="2008"/>
      <c r="V9" s="2008"/>
      <c r="W9" s="2008"/>
      <c r="X9" s="2008"/>
      <c r="Y9" s="2008"/>
      <c r="Z9" s="2008"/>
      <c r="AA9" s="2009"/>
    </row>
    <row r="10" spans="1:28" ht="13.5" customHeight="1" x14ac:dyDescent="0.2">
      <c r="A10" s="2014" t="s">
        <v>675</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955</v>
      </c>
      <c r="B11" s="2018"/>
      <c r="C11" s="2018"/>
      <c r="D11" s="2018"/>
      <c r="E11" s="2018"/>
      <c r="F11" s="2018"/>
      <c r="G11" s="2018"/>
      <c r="H11" s="2019"/>
      <c r="I11" s="27"/>
      <c r="J11" s="74"/>
      <c r="K11" s="27"/>
      <c r="O11" s="148" t="s">
        <v>2064</v>
      </c>
      <c r="P11" s="100" t="s">
        <v>201</v>
      </c>
      <c r="Q11" s="30"/>
      <c r="R11" s="28"/>
      <c r="S11" s="27"/>
      <c r="T11" s="2011"/>
      <c r="U11" s="2012"/>
      <c r="V11" s="2012"/>
      <c r="W11" s="2012"/>
      <c r="X11" s="2012"/>
      <c r="Y11" s="2012"/>
      <c r="Z11" s="2012"/>
      <c r="AA11" s="201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1">
        <v>28006000000</v>
      </c>
      <c r="B13" s="2022"/>
      <c r="C13" s="2022"/>
      <c r="D13" s="2022"/>
      <c r="E13" s="2022"/>
      <c r="F13" s="2022"/>
      <c r="G13" s="2022"/>
      <c r="H13" s="2023"/>
      <c r="I13" s="31"/>
      <c r="J13" s="30"/>
      <c r="K13" s="28"/>
      <c r="L13" s="30"/>
      <c r="M13" s="30"/>
      <c r="N13" s="30"/>
      <c r="O13" s="30"/>
      <c r="P13" s="30"/>
      <c r="Q13" s="30"/>
      <c r="R13" s="30"/>
      <c r="S13" s="30"/>
      <c r="T13" s="2026" t="s">
        <v>2065</v>
      </c>
      <c r="U13" s="2027"/>
      <c r="V13" s="2027"/>
      <c r="W13" s="2027"/>
      <c r="X13" s="2027"/>
      <c r="Y13" s="2028"/>
      <c r="Z13" s="2028"/>
      <c r="AA13" s="202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0" t="s">
        <v>2075</v>
      </c>
      <c r="B15" s="2024"/>
      <c r="C15" s="2024"/>
      <c r="D15" s="2024"/>
      <c r="E15" s="2024"/>
      <c r="F15" s="2024"/>
      <c r="G15" s="2024"/>
      <c r="H15" s="2025"/>
      <c r="T15" s="2030" t="s">
        <v>2066</v>
      </c>
      <c r="U15" s="1974"/>
      <c r="V15" s="1974"/>
      <c r="W15" s="1974"/>
      <c r="X15" s="1974"/>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0" t="s">
        <v>2090</v>
      </c>
      <c r="B17" s="1981"/>
      <c r="C17" s="1981"/>
      <c r="D17" s="1981"/>
      <c r="E17" s="1981"/>
      <c r="F17" s="1981"/>
      <c r="G17" s="1981"/>
      <c r="H17" s="2006"/>
      <c r="T17" s="2037" t="s">
        <v>2067</v>
      </c>
      <c r="U17" s="2038"/>
      <c r="V17" s="2038"/>
      <c r="W17" s="2038"/>
      <c r="X17" s="2038"/>
      <c r="Y17" s="2038"/>
      <c r="Z17" s="2038"/>
      <c r="AA17" s="2039"/>
    </row>
    <row r="18" spans="1:27" ht="13.5" customHeight="1" x14ac:dyDescent="0.2">
      <c r="A18" s="85" t="s">
        <v>530</v>
      </c>
      <c r="B18" s="76"/>
      <c r="C18" s="72"/>
      <c r="D18" s="76"/>
      <c r="E18" s="76"/>
      <c r="F18" s="76"/>
      <c r="G18" s="76"/>
      <c r="H18" s="56"/>
      <c r="I18" s="2005" t="s">
        <v>676</v>
      </c>
      <c r="J18" s="1956"/>
      <c r="K18" s="1956"/>
      <c r="L18" s="1956"/>
      <c r="M18" s="1956"/>
      <c r="N18" s="1956"/>
      <c r="O18" s="1956"/>
      <c r="P18" s="1956"/>
      <c r="Q18" s="1956"/>
      <c r="R18" s="1956"/>
      <c r="S18" s="1957"/>
      <c r="T18" s="85" t="s">
        <v>711</v>
      </c>
      <c r="U18" s="51"/>
      <c r="V18" s="72"/>
      <c r="W18" s="50"/>
      <c r="X18" s="85" t="s">
        <v>266</v>
      </c>
      <c r="Y18" s="81"/>
      <c r="Z18" s="159" t="s">
        <v>677</v>
      </c>
      <c r="AA18" s="46"/>
    </row>
    <row r="19" spans="1:27" ht="13.5" customHeight="1" x14ac:dyDescent="0.2">
      <c r="A19" s="2020" t="s">
        <v>2076</v>
      </c>
      <c r="B19" s="1966"/>
      <c r="C19" s="1966"/>
      <c r="D19" s="1966"/>
      <c r="E19" s="1966"/>
      <c r="F19" s="1966"/>
      <c r="G19" s="1966"/>
      <c r="H19" s="1946"/>
      <c r="I19" s="30"/>
      <c r="J19" s="99"/>
      <c r="K19" s="40"/>
      <c r="L19" s="38"/>
      <c r="M19" s="112" t="s">
        <v>315</v>
      </c>
      <c r="P19" s="27"/>
      <c r="Q19" s="27"/>
      <c r="R19" s="27"/>
      <c r="S19" s="31"/>
      <c r="T19" s="2020" t="s">
        <v>2068</v>
      </c>
      <c r="U19" s="1945"/>
      <c r="V19" s="1945"/>
      <c r="W19" s="1946"/>
      <c r="X19" s="2035" t="s">
        <v>2069</v>
      </c>
      <c r="Y19" s="2036"/>
      <c r="Z19" s="2033">
        <v>61326</v>
      </c>
      <c r="AA19" s="203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4" t="s">
        <v>2077</v>
      </c>
      <c r="B21" s="1945"/>
      <c r="C21" s="1945"/>
      <c r="D21" s="1945"/>
      <c r="E21" s="1945"/>
      <c r="F21" s="1945"/>
      <c r="G21" s="1945"/>
      <c r="H21" s="1946"/>
      <c r="I21" s="2000" t="s">
        <v>678</v>
      </c>
      <c r="J21" s="1995"/>
      <c r="K21" s="1995"/>
      <c r="L21" s="1995"/>
      <c r="M21" s="1995"/>
      <c r="N21" s="1995"/>
      <c r="O21" s="1995"/>
      <c r="P21" s="1995"/>
      <c r="Q21" s="1995"/>
      <c r="R21" s="1995"/>
      <c r="S21" s="2001"/>
      <c r="T21" s="2044" t="s">
        <v>2070</v>
      </c>
      <c r="U21" s="2045"/>
      <c r="V21" s="2045"/>
      <c r="W21" s="2045"/>
      <c r="X21" s="2050" t="s">
        <v>2071</v>
      </c>
      <c r="Y21" s="2051"/>
      <c r="Z21" s="2051"/>
      <c r="AA21" s="2052"/>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7" t="s">
        <v>2078</v>
      </c>
      <c r="B23" s="1998"/>
      <c r="C23" s="1998"/>
      <c r="D23" s="1998"/>
      <c r="E23" s="1998"/>
      <c r="F23" s="1998"/>
      <c r="G23" s="1998"/>
      <c r="H23" s="1999"/>
      <c r="T23" s="1980" t="s">
        <v>2074</v>
      </c>
      <c r="U23" s="2043"/>
      <c r="V23" s="2043"/>
      <c r="W23" s="2043"/>
      <c r="X23" s="2047">
        <v>44530</v>
      </c>
      <c r="Y23" s="2048"/>
      <c r="Z23" s="2048"/>
      <c r="AA23" s="2049"/>
    </row>
    <row r="24" spans="1:27" ht="14.1" customHeight="1" x14ac:dyDescent="0.2">
      <c r="A24" s="88" t="s">
        <v>677</v>
      </c>
      <c r="B24" s="49"/>
      <c r="C24" s="49"/>
      <c r="D24" s="49"/>
      <c r="E24" s="49"/>
      <c r="F24" s="49"/>
      <c r="G24" s="49"/>
      <c r="H24" s="61"/>
      <c r="J24" s="1967" t="str">
        <f>IF(B5="x",IF(AUDITCHECK!D29="AFR form Incomplete.","",IF(AUDITCHECK!D29="Deficit reduction plan is required.","School District must complete a deficit reduction plan in the 2019-2020 Budget",)),"")</f>
        <v/>
      </c>
      <c r="K24" s="1967"/>
      <c r="L24" s="1967"/>
      <c r="M24" s="1967"/>
      <c r="N24" s="1967"/>
      <c r="O24" s="1967"/>
      <c r="P24" s="1967"/>
      <c r="Q24" s="1967"/>
      <c r="R24" s="1967"/>
      <c r="S24" s="1968"/>
      <c r="T24" s="105" t="s">
        <v>531</v>
      </c>
      <c r="U24" s="106"/>
      <c r="V24" s="106"/>
      <c r="W24" s="106"/>
      <c r="X24" s="107"/>
      <c r="Y24" s="107"/>
      <c r="Z24" s="107"/>
      <c r="AA24" s="108"/>
    </row>
    <row r="25" spans="1:27" ht="14.1" customHeight="1" x14ac:dyDescent="0.2">
      <c r="A25" s="1944">
        <v>61368</v>
      </c>
      <c r="B25" s="1945"/>
      <c r="C25" s="1945"/>
      <c r="D25" s="1945"/>
      <c r="E25" s="1945"/>
      <c r="F25" s="1945"/>
      <c r="G25" s="1945"/>
      <c r="H25" s="1946"/>
      <c r="I25" s="113"/>
      <c r="J25" s="1969"/>
      <c r="K25" s="1969"/>
      <c r="L25" s="1969"/>
      <c r="M25" s="1969"/>
      <c r="N25" s="1969"/>
      <c r="O25" s="1969"/>
      <c r="P25" s="1969"/>
      <c r="Q25" s="1969"/>
      <c r="R25" s="1969"/>
      <c r="S25" s="1970"/>
      <c r="T25" s="2040" t="s">
        <v>2072</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5" t="s">
        <v>1511</v>
      </c>
      <c r="J27" s="1956"/>
      <c r="K27" s="1956"/>
      <c r="L27" s="1956"/>
      <c r="M27" s="1956"/>
      <c r="N27" s="1956"/>
      <c r="O27" s="1956"/>
      <c r="P27" s="1956"/>
      <c r="Q27" s="1956"/>
      <c r="R27" s="1956"/>
      <c r="S27" s="195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6"/>
      <c r="Q35" s="1945"/>
      <c r="R35" s="194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0" t="s">
        <v>2079</v>
      </c>
      <c r="B38" s="1981"/>
      <c r="C38" s="1981"/>
      <c r="D38" s="1981"/>
      <c r="E38" s="1981"/>
      <c r="F38" s="1945"/>
      <c r="G38" s="1945"/>
      <c r="H38" s="1946"/>
      <c r="I38" s="1973"/>
      <c r="J38" s="1974"/>
      <c r="K38" s="1974"/>
      <c r="L38" s="1974"/>
      <c r="M38" s="1974"/>
      <c r="N38" s="1974"/>
      <c r="O38" s="1974"/>
      <c r="P38" s="1975"/>
      <c r="Q38" s="1975"/>
      <c r="R38" s="1975"/>
      <c r="S38" s="1976"/>
      <c r="T38" s="2030"/>
      <c r="U38" s="1974"/>
      <c r="V38" s="1974"/>
      <c r="W38" s="1974"/>
      <c r="X38" s="1975"/>
      <c r="Y38" s="1975"/>
      <c r="Z38" s="1975"/>
      <c r="AA38" s="1976"/>
    </row>
    <row r="39" spans="1:27" ht="12" customHeight="1" x14ac:dyDescent="0.2">
      <c r="A39" s="1950" t="s">
        <v>531</v>
      </c>
      <c r="B39" s="1951"/>
      <c r="C39" s="72"/>
      <c r="D39" s="69"/>
      <c r="E39" s="69"/>
      <c r="F39" s="79"/>
      <c r="G39" s="69"/>
      <c r="H39" s="56"/>
      <c r="I39" s="1950" t="s">
        <v>531</v>
      </c>
      <c r="J39" s="1951"/>
      <c r="K39" s="1951"/>
      <c r="L39" s="1951"/>
      <c r="M39" s="1951"/>
      <c r="N39" s="67"/>
      <c r="O39" s="72"/>
      <c r="P39" s="72"/>
      <c r="Q39" s="78"/>
      <c r="R39" s="72"/>
      <c r="S39" s="56"/>
      <c r="T39" s="72" t="s">
        <v>531</v>
      </c>
      <c r="U39" s="51"/>
      <c r="V39" s="72"/>
      <c r="W39" s="50"/>
      <c r="X39" s="78"/>
      <c r="Y39" s="45"/>
      <c r="Z39" s="45"/>
      <c r="AA39" s="46"/>
    </row>
    <row r="40" spans="1:27" ht="13.5" customHeight="1" x14ac:dyDescent="0.2">
      <c r="A40" s="1958" t="s">
        <v>2080</v>
      </c>
      <c r="B40" s="1959"/>
      <c r="C40" s="1960"/>
      <c r="D40" s="1960"/>
      <c r="E40" s="1960"/>
      <c r="F40" s="1961"/>
      <c r="G40" s="1961"/>
      <c r="H40" s="1962"/>
      <c r="I40" s="1983"/>
      <c r="J40" s="1984"/>
      <c r="K40" s="1984"/>
      <c r="L40" s="1984"/>
      <c r="M40" s="1984"/>
      <c r="N40" s="1984"/>
      <c r="O40" s="1984"/>
      <c r="P40" s="1984"/>
      <c r="Q40" s="1984"/>
      <c r="R40" s="1984"/>
      <c r="S40" s="1985"/>
      <c r="T40" s="1983"/>
      <c r="U40" s="2046"/>
      <c r="V40" s="1984"/>
      <c r="W40" s="1984"/>
      <c r="X40" s="1984"/>
      <c r="Y40" s="1984"/>
      <c r="Z40" s="1984"/>
      <c r="AA40" s="198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2" t="s">
        <v>2081</v>
      </c>
      <c r="B42" s="1964"/>
      <c r="C42" s="1965"/>
      <c r="D42" s="1963" t="s">
        <v>2082</v>
      </c>
      <c r="E42" s="1964"/>
      <c r="F42" s="1964"/>
      <c r="G42" s="1964"/>
      <c r="H42" s="1965"/>
      <c r="I42" s="1947"/>
      <c r="J42" s="1948"/>
      <c r="K42" s="1948"/>
      <c r="L42" s="1948"/>
      <c r="M42" s="1948"/>
      <c r="N42" s="1948"/>
      <c r="O42" s="1949"/>
      <c r="P42" s="1982"/>
      <c r="Q42" s="1948"/>
      <c r="R42" s="1948"/>
      <c r="S42" s="1949"/>
      <c r="T42" s="1947"/>
      <c r="U42" s="1948"/>
      <c r="V42" s="1948"/>
      <c r="W42" s="1949"/>
      <c r="X42" s="1982"/>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4" sqref="E4:E1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1950</v>
      </c>
      <c r="C2" s="714" t="s">
        <v>1951</v>
      </c>
      <c r="D2" s="714" t="s">
        <v>1952</v>
      </c>
      <c r="E2" s="714" t="s">
        <v>1953</v>
      </c>
      <c r="F2" s="714" t="s">
        <v>1954</v>
      </c>
    </row>
    <row r="3" spans="1:6" ht="12" customHeight="1" x14ac:dyDescent="0.2">
      <c r="A3" s="2187"/>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1" sqref="J31: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629</v>
      </c>
      <c r="B1" s="2206"/>
      <c r="C1" s="721"/>
    </row>
    <row r="2" spans="1:7" ht="33.75" x14ac:dyDescent="0.2">
      <c r="A2" s="2213" t="s">
        <v>1802</v>
      </c>
      <c r="B2" s="2214"/>
      <c r="C2" s="1884" t="s">
        <v>1955</v>
      </c>
      <c r="D2" s="723" t="s">
        <v>1956</v>
      </c>
      <c r="E2" s="723" t="s">
        <v>1957</v>
      </c>
      <c r="F2" s="1884" t="s">
        <v>1958</v>
      </c>
    </row>
    <row r="3" spans="1:7" ht="15.75" customHeight="1" x14ac:dyDescent="0.2">
      <c r="A3" s="2215" t="s">
        <v>1114</v>
      </c>
      <c r="B3" s="2216"/>
      <c r="C3" s="2209"/>
      <c r="D3" s="2210"/>
      <c r="E3" s="2210"/>
      <c r="F3" s="2211"/>
    </row>
    <row r="4" spans="1:7" ht="12.75" customHeight="1" thickBot="1" x14ac:dyDescent="0.25">
      <c r="A4" s="2203" t="s">
        <v>630</v>
      </c>
      <c r="B4" s="2204"/>
      <c r="C4" s="581"/>
      <c r="D4" s="581"/>
      <c r="E4" s="581"/>
      <c r="F4" s="1755">
        <f>SUM(C4+D4)-E4</f>
        <v>0</v>
      </c>
    </row>
    <row r="5" spans="1:7" ht="15.75" customHeight="1" thickTop="1" x14ac:dyDescent="0.2">
      <c r="A5" s="2207" t="s">
        <v>1110</v>
      </c>
      <c r="B5" s="2202"/>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9" t="s">
        <v>631</v>
      </c>
      <c r="B15" s="2200"/>
      <c r="C15" s="1755">
        <f>SUM(C6:C14)</f>
        <v>0</v>
      </c>
      <c r="D15" s="1755">
        <f>SUM(D6:D14)</f>
        <v>0</v>
      </c>
      <c r="E15" s="1755">
        <f>SUM(E6:E14)</f>
        <v>0</v>
      </c>
      <c r="F15" s="1755">
        <f>SUM(F6:F14)</f>
        <v>0</v>
      </c>
      <c r="G15" s="552"/>
    </row>
    <row r="16" spans="1:7" s="202" customFormat="1" ht="15.75" customHeight="1" thickTop="1" x14ac:dyDescent="0.2">
      <c r="A16" s="2212" t="s">
        <v>1111</v>
      </c>
      <c r="B16" s="2202"/>
      <c r="C16" s="2196"/>
      <c r="D16" s="2197"/>
      <c r="E16" s="2197"/>
      <c r="F16" s="2198"/>
    </row>
    <row r="17" spans="1:11" ht="12.75" customHeight="1" thickBot="1" x14ac:dyDescent="0.25">
      <c r="A17" s="2194" t="s">
        <v>64</v>
      </c>
      <c r="B17" s="2195"/>
      <c r="C17" s="726"/>
      <c r="D17" s="585"/>
      <c r="E17" s="726"/>
      <c r="F17" s="1755">
        <f>SUM(C17+D17)-E17</f>
        <v>0</v>
      </c>
    </row>
    <row r="18" spans="1:11" ht="12.75" customHeight="1" thickTop="1" thickBot="1" x14ac:dyDescent="0.25">
      <c r="A18" s="2194" t="s">
        <v>6</v>
      </c>
      <c r="B18" s="2195"/>
      <c r="C18" s="726"/>
      <c r="D18" s="585"/>
      <c r="E18" s="726"/>
      <c r="F18" s="1755">
        <f>SUM(C18+D18)-E18</f>
        <v>0</v>
      </c>
    </row>
    <row r="19" spans="1:11" ht="12.75" customHeight="1" thickTop="1" thickBot="1" x14ac:dyDescent="0.25">
      <c r="A19" s="2194" t="s">
        <v>388</v>
      </c>
      <c r="B19" s="2195"/>
      <c r="C19" s="726"/>
      <c r="D19" s="585"/>
      <c r="E19" s="726"/>
      <c r="F19" s="1755">
        <f>SUM(C19+D19)-E19</f>
        <v>0</v>
      </c>
    </row>
    <row r="20" spans="1:11" ht="12.75" customHeight="1" thickTop="1" thickBot="1" x14ac:dyDescent="0.25">
      <c r="A20" s="2194" t="s">
        <v>448</v>
      </c>
      <c r="B20" s="2195"/>
      <c r="C20" s="726"/>
      <c r="D20" s="585"/>
      <c r="E20" s="726"/>
      <c r="F20" s="1755">
        <f>SUM(C20+D20)-E20</f>
        <v>0</v>
      </c>
    </row>
    <row r="21" spans="1:11" ht="14.25" thickTop="1" thickBot="1" x14ac:dyDescent="0.25">
      <c r="A21" s="2199" t="s">
        <v>632</v>
      </c>
      <c r="B21" s="2200"/>
      <c r="C21" s="1755">
        <f>SUM(C17:C20)</f>
        <v>0</v>
      </c>
      <c r="D21" s="1755">
        <f>SUM(D17:D20)</f>
        <v>0</v>
      </c>
      <c r="E21" s="1755">
        <f>SUM(E17:E20)</f>
        <v>0</v>
      </c>
      <c r="F21" s="1755">
        <f>SUM(F17:F20)</f>
        <v>0</v>
      </c>
      <c r="G21" s="552"/>
    </row>
    <row r="22" spans="1:11" ht="15.75" customHeight="1" thickTop="1" x14ac:dyDescent="0.2">
      <c r="A22" s="2201" t="s">
        <v>1112</v>
      </c>
      <c r="B22" s="2202"/>
      <c r="C22" s="2196"/>
      <c r="D22" s="2197"/>
      <c r="E22" s="2197"/>
      <c r="F22" s="2198"/>
    </row>
    <row r="23" spans="1:11" ht="13.5" thickBot="1" x14ac:dyDescent="0.25">
      <c r="A23" s="2203" t="s">
        <v>633</v>
      </c>
      <c r="B23" s="2204"/>
      <c r="C23" s="581"/>
      <c r="D23" s="581"/>
      <c r="E23" s="581"/>
      <c r="F23" s="1755">
        <f>SUM(C23+D23)-E23</f>
        <v>0</v>
      </c>
      <c r="G23" s="552"/>
    </row>
    <row r="24" spans="1:11" ht="15.75" customHeight="1" thickTop="1" x14ac:dyDescent="0.2">
      <c r="A24" s="2201" t="s">
        <v>1113</v>
      </c>
      <c r="B24" s="2202"/>
      <c r="C24" s="2196"/>
      <c r="D24" s="2197"/>
      <c r="E24" s="2197"/>
      <c r="F24" s="2198"/>
    </row>
    <row r="25" spans="1:11" ht="13.5" thickBot="1" x14ac:dyDescent="0.25">
      <c r="A25" s="2203" t="s">
        <v>634</v>
      </c>
      <c r="B25" s="2204"/>
      <c r="C25" s="581"/>
      <c r="D25" s="581"/>
      <c r="E25" s="581"/>
      <c r="F25" s="1755">
        <f>SUM(C25+D25)-E25</f>
        <v>0</v>
      </c>
      <c r="G25" s="552"/>
    </row>
    <row r="26" spans="1:11" ht="15.75" customHeight="1" thickTop="1" x14ac:dyDescent="0.2">
      <c r="A26" s="2207" t="s">
        <v>657</v>
      </c>
      <c r="B26" s="2202"/>
      <c r="C26" s="727"/>
      <c r="D26" s="727"/>
      <c r="E26" s="727"/>
      <c r="F26" s="728"/>
    </row>
    <row r="27" spans="1:11" ht="13.5" thickBot="1" x14ac:dyDescent="0.25">
      <c r="A27" s="2199" t="s">
        <v>1070</v>
      </c>
      <c r="B27" s="2200"/>
      <c r="C27" s="585"/>
      <c r="D27" s="585"/>
      <c r="E27" s="585"/>
      <c r="F27" s="1755">
        <f>SUM(C27+D27)-E27</f>
        <v>0</v>
      </c>
      <c r="G27" s="552"/>
    </row>
    <row r="28" spans="1:11" ht="7.5" customHeight="1" thickTop="1" x14ac:dyDescent="0.2">
      <c r="A28" s="593"/>
    </row>
    <row r="29" spans="1:11" ht="23.25" customHeight="1" x14ac:dyDescent="0.2">
      <c r="A29" s="2205" t="s">
        <v>582</v>
      </c>
      <c r="B29" s="2206"/>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8" t="s">
        <v>584</v>
      </c>
      <c r="C52" s="2189"/>
      <c r="D52" s="2189"/>
      <c r="E52" s="749" t="s">
        <v>845</v>
      </c>
      <c r="F52" s="2190"/>
      <c r="G52" s="2191"/>
      <c r="H52" s="736"/>
      <c r="I52" s="736"/>
      <c r="J52" s="746"/>
    </row>
    <row r="53" spans="1:11" ht="11.25" customHeight="1" x14ac:dyDescent="0.2">
      <c r="A53" s="750" t="s">
        <v>913</v>
      </c>
      <c r="B53" s="751" t="s">
        <v>951</v>
      </c>
      <c r="C53" s="746"/>
      <c r="D53" s="737"/>
      <c r="E53" s="749" t="s">
        <v>497</v>
      </c>
      <c r="F53" s="2192"/>
      <c r="G53" s="2193"/>
      <c r="H53" s="736"/>
      <c r="I53" s="736"/>
      <c r="J53" s="746"/>
    </row>
    <row r="54" spans="1:11" ht="11.25" customHeight="1" x14ac:dyDescent="0.2">
      <c r="A54" s="752" t="s">
        <v>914</v>
      </c>
      <c r="B54" s="747" t="s">
        <v>952</v>
      </c>
      <c r="C54" s="746"/>
      <c r="D54" s="737"/>
      <c r="E54" s="749" t="s">
        <v>498</v>
      </c>
      <c r="F54" s="2192"/>
      <c r="G54" s="219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E1" colorId="8" zoomScale="110" zoomScaleNormal="110" workbookViewId="0">
      <selection activeCell="H14" sqref="H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7" t="s">
        <v>856</v>
      </c>
      <c r="B1" s="2218"/>
      <c r="C1" s="2218"/>
      <c r="D1" s="2218"/>
      <c r="E1" s="2218"/>
      <c r="F1" s="2218"/>
      <c r="G1" s="2219"/>
      <c r="H1" s="1530"/>
      <c r="I1" s="760"/>
      <c r="J1" s="433"/>
    </row>
    <row r="2" spans="1:11" ht="26.25" x14ac:dyDescent="0.2">
      <c r="A2" s="2236" t="s">
        <v>1677</v>
      </c>
      <c r="B2" s="2237"/>
      <c r="C2" s="2237"/>
      <c r="D2" s="2237"/>
      <c r="E2" s="2238"/>
      <c r="F2" s="761" t="s">
        <v>904</v>
      </c>
      <c r="G2" s="762" t="s">
        <v>1674</v>
      </c>
      <c r="H2" s="762" t="s">
        <v>410</v>
      </c>
      <c r="I2" s="762" t="s">
        <v>1158</v>
      </c>
      <c r="J2" s="762" t="s">
        <v>1812</v>
      </c>
      <c r="K2" s="762" t="s">
        <v>138</v>
      </c>
    </row>
    <row r="3" spans="1:11" x14ac:dyDescent="0.2">
      <c r="A3" s="2239" t="s">
        <v>1963</v>
      </c>
      <c r="B3" s="2240"/>
      <c r="C3" s="2240"/>
      <c r="D3" s="2240"/>
      <c r="E3" s="2241"/>
      <c r="F3" s="763"/>
      <c r="G3" s="764"/>
      <c r="H3" s="764"/>
      <c r="I3" s="764"/>
      <c r="J3" s="765"/>
      <c r="K3" s="765"/>
    </row>
    <row r="4" spans="1:11" x14ac:dyDescent="0.2">
      <c r="A4" s="2242" t="s">
        <v>369</v>
      </c>
      <c r="B4" s="2243"/>
      <c r="C4" s="2243"/>
      <c r="D4" s="2243"/>
      <c r="E4" s="2189"/>
      <c r="F4" s="766"/>
      <c r="G4" s="767"/>
      <c r="H4" s="768"/>
      <c r="I4" s="767"/>
      <c r="J4" s="769"/>
      <c r="K4" s="769"/>
    </row>
    <row r="5" spans="1:11" x14ac:dyDescent="0.2">
      <c r="A5" s="2220" t="s">
        <v>1069</v>
      </c>
      <c r="B5" s="2221"/>
      <c r="C5" s="2221"/>
      <c r="D5" s="2221"/>
      <c r="E5" s="2222"/>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0" t="s">
        <v>1813</v>
      </c>
      <c r="B10" s="2221"/>
      <c r="C10" s="2221"/>
      <c r="D10" s="2221"/>
      <c r="E10" s="2223"/>
      <c r="F10" s="783" t="s">
        <v>862</v>
      </c>
      <c r="G10" s="782"/>
      <c r="H10" s="784"/>
      <c r="I10" s="764"/>
      <c r="J10" s="765"/>
      <c r="K10" s="765"/>
    </row>
    <row r="11" spans="1:11" x14ac:dyDescent="0.2">
      <c r="A11" s="2220" t="s">
        <v>160</v>
      </c>
      <c r="B11" s="2221"/>
      <c r="C11" s="2221"/>
      <c r="D11" s="2221"/>
      <c r="E11" s="2222"/>
      <c r="F11" s="770" t="s">
        <v>852</v>
      </c>
      <c r="G11" s="771"/>
      <c r="H11" s="764"/>
      <c r="I11" s="764"/>
      <c r="J11" s="765"/>
      <c r="K11" s="773"/>
    </row>
    <row r="12" spans="1:11" ht="13.5" thickBot="1" x14ac:dyDescent="0.25">
      <c r="A12" s="2247" t="s">
        <v>905</v>
      </c>
      <c r="B12" s="2248"/>
      <c r="C12" s="2248"/>
      <c r="D12" s="2248"/>
      <c r="E12" s="2249"/>
      <c r="F12" s="1757"/>
      <c r="G12" s="1758">
        <f>SUM(G5:G11)</f>
        <v>0</v>
      </c>
      <c r="H12" s="1758">
        <f>SUM(H5:H11)</f>
        <v>0</v>
      </c>
      <c r="I12" s="1758">
        <f>SUM(I5:I11)</f>
        <v>0</v>
      </c>
      <c r="J12" s="1758">
        <f>SUM(J5:J11)</f>
        <v>0</v>
      </c>
      <c r="K12" s="1758">
        <f>SUM(K5:K11)</f>
        <v>0</v>
      </c>
    </row>
    <row r="13" spans="1:11" ht="13.5" thickTop="1" x14ac:dyDescent="0.2">
      <c r="A13" s="2244" t="s">
        <v>370</v>
      </c>
      <c r="B13" s="2245"/>
      <c r="C13" s="2245"/>
      <c r="D13" s="2245"/>
      <c r="E13" s="2246"/>
      <c r="F13" s="785"/>
      <c r="G13" s="786"/>
      <c r="H13" s="787"/>
      <c r="I13" s="788"/>
      <c r="J13" s="788"/>
      <c r="K13" s="788"/>
    </row>
    <row r="14" spans="1:11" x14ac:dyDescent="0.2">
      <c r="A14" s="2227" t="s">
        <v>456</v>
      </c>
      <c r="B14" s="2227"/>
      <c r="C14" s="2227"/>
      <c r="D14" s="2227"/>
      <c r="E14" s="2228"/>
      <c r="F14" s="789" t="s">
        <v>854</v>
      </c>
      <c r="G14" s="782"/>
      <c r="H14" s="764"/>
      <c r="I14" s="771"/>
      <c r="J14" s="773"/>
      <c r="K14" s="765"/>
    </row>
    <row r="15" spans="1:11" x14ac:dyDescent="0.2">
      <c r="A15" s="2221" t="s">
        <v>4</v>
      </c>
      <c r="B15" s="2221"/>
      <c r="C15" s="2221"/>
      <c r="D15" s="2221"/>
      <c r="E15" s="2222"/>
      <c r="F15" s="789" t="s">
        <v>855</v>
      </c>
      <c r="G15" s="771"/>
      <c r="H15" s="764"/>
      <c r="I15" s="764"/>
      <c r="J15" s="765"/>
      <c r="K15" s="765"/>
    </row>
    <row r="16" spans="1:11" x14ac:dyDescent="0.2">
      <c r="A16" s="2221" t="s">
        <v>298</v>
      </c>
      <c r="B16" s="2221"/>
      <c r="C16" s="2221"/>
      <c r="D16" s="2221"/>
      <c r="E16" s="2222"/>
      <c r="F16" s="789" t="s">
        <v>923</v>
      </c>
      <c r="G16" s="772"/>
      <c r="H16" s="767"/>
      <c r="I16" s="767"/>
      <c r="J16" s="769"/>
      <c r="K16" s="769"/>
    </row>
    <row r="17" spans="1:11" x14ac:dyDescent="0.2">
      <c r="A17" s="2252" t="s">
        <v>935</v>
      </c>
      <c r="B17" s="2252"/>
      <c r="C17" s="2252"/>
      <c r="D17" s="2252"/>
      <c r="E17" s="2253"/>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29" t="s">
        <v>1809</v>
      </c>
      <c r="B19" s="2229"/>
      <c r="C19" s="2229"/>
      <c r="D19" s="2229"/>
      <c r="E19" s="2230"/>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50" t="s">
        <v>638</v>
      </c>
      <c r="B21" s="2250"/>
      <c r="C21" s="2250"/>
      <c r="D21" s="2250"/>
      <c r="E21" s="2250"/>
      <c r="F21" s="1759"/>
      <c r="G21" s="792"/>
      <c r="H21" s="796"/>
      <c r="I21" s="796"/>
      <c r="J21" s="1760">
        <f>SUM(J18:J20)</f>
        <v>0</v>
      </c>
      <c r="K21" s="793"/>
    </row>
    <row r="22" spans="1:11" ht="13.5" thickTop="1" x14ac:dyDescent="0.2">
      <c r="A22" s="2221" t="s">
        <v>1815</v>
      </c>
      <c r="B22" s="2221"/>
      <c r="C22" s="2221"/>
      <c r="D22" s="2221"/>
      <c r="E22" s="2222"/>
      <c r="F22" s="789" t="s">
        <v>862</v>
      </c>
      <c r="G22" s="782"/>
      <c r="H22" s="764"/>
      <c r="I22" s="764"/>
      <c r="J22" s="797"/>
      <c r="K22" s="765"/>
    </row>
    <row r="23" spans="1:11" ht="13.5" thickBot="1" x14ac:dyDescent="0.25">
      <c r="A23" s="2251" t="s">
        <v>906</v>
      </c>
      <c r="B23" s="2250"/>
      <c r="C23" s="2250"/>
      <c r="D23" s="2250"/>
      <c r="E23" s="2250"/>
      <c r="F23" s="1761"/>
      <c r="G23" s="1758">
        <f>SUM(G14:G16,G21,G22)</f>
        <v>0</v>
      </c>
      <c r="H23" s="1758">
        <f>SUM(H14:H16,H21,H22)</f>
        <v>0</v>
      </c>
      <c r="I23" s="1758">
        <f>SUM(I14:I16,I21,I22)</f>
        <v>0</v>
      </c>
      <c r="J23" s="1758">
        <f>SUM(J14:J16,J21,J22)</f>
        <v>0</v>
      </c>
      <c r="K23" s="1758">
        <f>SUM(K14:K16,K21,K22)</f>
        <v>0</v>
      </c>
    </row>
    <row r="24" spans="1:11" ht="14.25" thickTop="1" thickBot="1" x14ac:dyDescent="0.25">
      <c r="A24" s="2251" t="s">
        <v>1964</v>
      </c>
      <c r="B24" s="2250"/>
      <c r="C24" s="2250"/>
      <c r="D24" s="2250"/>
      <c r="E24" s="2250"/>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4"/>
      <c r="I31" s="2225"/>
      <c r="J31" s="2225"/>
      <c r="K31" s="2225"/>
    </row>
    <row r="32" spans="1:11" x14ac:dyDescent="0.2">
      <c r="A32" s="809"/>
      <c r="B32" s="237"/>
      <c r="C32" s="237"/>
      <c r="D32" s="237"/>
      <c r="E32" s="805"/>
      <c r="F32" s="811" t="s">
        <v>540</v>
      </c>
      <c r="G32" s="764"/>
      <c r="H32" s="2226"/>
      <c r="I32" s="2225"/>
      <c r="J32" s="2225"/>
      <c r="K32" s="2225"/>
    </row>
    <row r="33" spans="1:11" ht="1.5" customHeight="1" x14ac:dyDescent="0.2">
      <c r="A33" s="812" t="s">
        <v>1169</v>
      </c>
      <c r="B33" s="364"/>
      <c r="C33" s="364"/>
      <c r="D33" s="364"/>
      <c r="E33" s="364"/>
      <c r="F33" s="364"/>
      <c r="G33" s="813"/>
      <c r="H33" s="2226"/>
      <c r="I33" s="2225"/>
      <c r="J33" s="2225"/>
      <c r="K33" s="222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1" t="s">
        <v>541</v>
      </c>
      <c r="B41" s="2234"/>
      <c r="C41" s="2234"/>
      <c r="D41" s="2234"/>
      <c r="E41" s="2234"/>
      <c r="F41" s="223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45994</v>
      </c>
      <c r="D12" s="844"/>
      <c r="E12" s="844"/>
      <c r="F12" s="1760">
        <f>(C12+D12)-E12</f>
        <v>45994</v>
      </c>
      <c r="G12" s="843">
        <v>10</v>
      </c>
      <c r="H12" s="765">
        <v>43955</v>
      </c>
      <c r="I12" s="765">
        <v>303</v>
      </c>
      <c r="J12" s="765"/>
      <c r="K12" s="1769">
        <f>(H12+I12)-J12</f>
        <v>44258</v>
      </c>
      <c r="L12" s="1769">
        <f>F12-K12</f>
        <v>1736</v>
      </c>
    </row>
    <row r="13" spans="1:14" ht="14.25" thickTop="1" thickBot="1" x14ac:dyDescent="0.25">
      <c r="A13" s="848" t="s">
        <v>1122</v>
      </c>
      <c r="B13" s="840">
        <v>252</v>
      </c>
      <c r="C13" s="844">
        <v>10479</v>
      </c>
      <c r="D13" s="844"/>
      <c r="E13" s="844"/>
      <c r="F13" s="1760">
        <f>(C13+D13)-E13</f>
        <v>10479</v>
      </c>
      <c r="G13" s="843">
        <v>5</v>
      </c>
      <c r="H13" s="765">
        <v>5981</v>
      </c>
      <c r="I13" s="765">
        <v>2096</v>
      </c>
      <c r="J13" s="765"/>
      <c r="K13" s="1769">
        <f>(H13+I13)-J13</f>
        <v>8077</v>
      </c>
      <c r="L13" s="1769">
        <f>F13-K13</f>
        <v>2402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56473</v>
      </c>
      <c r="D16" s="1760">
        <f>SUM(D3,D5:D6,D8:D10,D12:D15)</f>
        <v>0</v>
      </c>
      <c r="E16" s="1760">
        <f>SUM(E3,E5:E6,E8:E10,E12:E15)</f>
        <v>0</v>
      </c>
      <c r="F16" s="1760">
        <f>SUM(F3,F5:F6,F8:F10,F12:F15)</f>
        <v>56473</v>
      </c>
      <c r="G16" s="843"/>
      <c r="H16" s="1760">
        <f>SUM(H3,H6,H8:H10,H12:H14,)</f>
        <v>49936</v>
      </c>
      <c r="I16" s="1760">
        <f>SUM(I3,I6,I8:I10,I12:I14,)</f>
        <v>2399</v>
      </c>
      <c r="J16" s="1760">
        <f>SUM(J3,J6,J8:J10,J12:J14,)</f>
        <v>0</v>
      </c>
      <c r="K16" s="1760">
        <f>(H16+I16)-J16</f>
        <v>52335</v>
      </c>
      <c r="L16" s="1760">
        <f>F16-K16</f>
        <v>4138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2399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J173" sqref="J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1974</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665321</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665321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15759</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15759</v>
      </c>
      <c r="G76" s="865"/>
    </row>
    <row r="77" spans="1:8" s="893" customFormat="1" ht="12" customHeight="1" thickTop="1" thickBot="1" x14ac:dyDescent="0.25">
      <c r="A77" s="1779"/>
      <c r="B77" s="1776"/>
      <c r="C77" s="1772"/>
      <c r="D77" s="1777" t="s">
        <v>1899</v>
      </c>
      <c r="E77" s="1774"/>
      <c r="F77" s="1780">
        <f>(F14-F76)</f>
        <v>649562</v>
      </c>
      <c r="G77" s="869"/>
    </row>
    <row r="78" spans="1:8" s="893" customFormat="1" ht="12" customHeight="1" thickTop="1" x14ac:dyDescent="0.2">
      <c r="A78" s="1781"/>
      <c r="B78" s="1776"/>
      <c r="C78" s="1772"/>
      <c r="D78" s="1777" t="s">
        <v>2061</v>
      </c>
      <c r="E78" s="1774"/>
      <c r="F78" s="898"/>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15540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58135</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0</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0</v>
      </c>
      <c r="G125" s="930"/>
    </row>
    <row r="126" spans="1:7" x14ac:dyDescent="0.2">
      <c r="A126" s="927" t="s">
        <v>668</v>
      </c>
      <c r="B126" s="927" t="s">
        <v>2023</v>
      </c>
      <c r="C126" s="932">
        <v>4300</v>
      </c>
      <c r="D126" s="933" t="str">
        <f>'Revenues 9-14'!A204</f>
        <v>Total Title I</v>
      </c>
      <c r="E126" s="906"/>
      <c r="F126" s="1789">
        <f>SUM('Revenues 9-14'!C204,'Revenues 9-14'!D204,'Revenues 9-14'!F204,'Revenues 9-14'!G204)</f>
        <v>0</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3221</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25600</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102496</v>
      </c>
    </row>
    <row r="175" spans="1:7" ht="12" customHeight="1" x14ac:dyDescent="0.2">
      <c r="A175" s="1770"/>
      <c r="B175" s="1784"/>
      <c r="C175" s="1785"/>
      <c r="D175" s="1786" t="s">
        <v>2056</v>
      </c>
      <c r="E175" s="1787"/>
      <c r="F175" s="1789">
        <f>'PCTC-OEPP 27-28'!F77-F174</f>
        <v>547066</v>
      </c>
    </row>
    <row r="176" spans="1:7" ht="12" customHeight="1" x14ac:dyDescent="0.2">
      <c r="A176" s="1770"/>
      <c r="B176" s="1784"/>
      <c r="C176" s="1785"/>
      <c r="D176" s="1786" t="s">
        <v>1817</v>
      </c>
      <c r="E176" s="1787"/>
      <c r="F176" s="1789">
        <f>'Cap Outlay Deprec 26'!I18</f>
        <v>2399</v>
      </c>
    </row>
    <row r="177" spans="1:7" ht="12" customHeight="1" x14ac:dyDescent="0.2">
      <c r="A177" s="1770"/>
      <c r="B177" s="1784"/>
      <c r="C177" s="1785"/>
      <c r="D177" s="1786" t="s">
        <v>2057</v>
      </c>
      <c r="E177" s="1787"/>
      <c r="F177" s="1789">
        <f>F175+F176</f>
        <v>549465</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2058</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534" t="s">
        <v>1819</v>
      </c>
      <c r="B6" s="1535"/>
      <c r="C6" s="1535"/>
      <c r="D6" s="1535"/>
      <c r="E6" s="1535"/>
      <c r="F6" s="1535"/>
      <c r="G6" s="1536"/>
    </row>
    <row r="7" spans="1:7" ht="30.75" customHeight="1" x14ac:dyDescent="0.25">
      <c r="A7" s="2279" t="s">
        <v>1931</v>
      </c>
      <c r="B7" s="2280"/>
      <c r="C7" s="2280"/>
      <c r="D7" s="2280"/>
      <c r="E7" s="2280"/>
      <c r="F7" s="2280"/>
      <c r="G7" s="2281"/>
    </row>
    <row r="8" spans="1:7" ht="15.75" customHeight="1" x14ac:dyDescent="0.25">
      <c r="A8" s="2282" t="s">
        <v>1906</v>
      </c>
      <c r="B8" s="2283"/>
      <c r="C8" s="2283"/>
      <c r="D8" s="2283"/>
      <c r="E8" s="2283"/>
      <c r="F8" s="2283"/>
      <c r="G8" s="2284"/>
    </row>
    <row r="9" spans="1:7" ht="35.25" customHeight="1" x14ac:dyDescent="0.25">
      <c r="A9" s="2279" t="s">
        <v>1934</v>
      </c>
      <c r="B9" s="2280"/>
      <c r="C9" s="2280"/>
      <c r="D9" s="2280"/>
      <c r="E9" s="2280"/>
      <c r="F9" s="2280"/>
      <c r="G9" s="2281"/>
    </row>
    <row r="10" spans="1:7" ht="15" customHeight="1" x14ac:dyDescent="0.25">
      <c r="A10" s="1537" t="s">
        <v>1820</v>
      </c>
      <c r="B10" s="1538"/>
      <c r="C10" s="1538"/>
      <c r="D10" s="1538"/>
      <c r="E10" s="1538"/>
      <c r="F10" s="1538"/>
      <c r="G10" s="1539"/>
    </row>
    <row r="11" spans="1:7" ht="17.25" customHeight="1" x14ac:dyDescent="0.25">
      <c r="A11" s="2279" t="s">
        <v>1933</v>
      </c>
      <c r="B11" s="2280"/>
      <c r="C11" s="2280"/>
      <c r="D11" s="2280"/>
      <c r="E11" s="2280"/>
      <c r="F11" s="2280"/>
      <c r="G11" s="2281"/>
    </row>
    <row r="12" spans="1:7" ht="15" customHeight="1" x14ac:dyDescent="0.25">
      <c r="A12" s="1537" t="s">
        <v>1825</v>
      </c>
      <c r="B12" s="1538"/>
      <c r="C12" s="1538"/>
      <c r="D12" s="1538"/>
      <c r="E12" s="1538"/>
      <c r="F12" s="1538"/>
      <c r="G12" s="1539"/>
    </row>
    <row r="13" spans="1:7" ht="32.25" customHeight="1" x14ac:dyDescent="0.25">
      <c r="A13" s="2270" t="s">
        <v>1975</v>
      </c>
      <c r="B13" s="2271"/>
      <c r="C13" s="2271"/>
      <c r="D13" s="2271"/>
      <c r="E13" s="2271"/>
      <c r="F13" s="2271"/>
      <c r="G13" s="2272"/>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42" t="s">
        <v>2084</v>
      </c>
      <c r="B17" s="1943" t="s">
        <v>2085</v>
      </c>
      <c r="C17" s="1941" t="s">
        <v>2083</v>
      </c>
      <c r="D17" s="1844">
        <v>2006</v>
      </c>
      <c r="E17" s="1540">
        <f t="shared" ref="E17:E141" si="0">IF(D17&lt;=25000,D17,IF(D17&gt;25000,25000,0))</f>
        <v>2006</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2006</v>
      </c>
      <c r="G17" s="1793">
        <f>IF(F17=0,0,D17-F17)</f>
        <v>0</v>
      </c>
      <c r="H17" s="1647"/>
    </row>
    <row r="18" spans="1:8" x14ac:dyDescent="0.25">
      <c r="A18" s="1937"/>
      <c r="B18" s="1938"/>
      <c r="C18" s="1939"/>
      <c r="D18" s="1844"/>
      <c r="E18" s="1540">
        <f t="shared" ref="E18:E140" si="2">IF(D18&lt;=25000,D18,IF(D18&gt;25000,25000,0))</f>
        <v>0</v>
      </c>
      <c r="F18" s="1932">
        <f t="shared" si="1"/>
        <v>0</v>
      </c>
      <c r="G18" s="1793">
        <f t="shared" ref="G18:G140" si="3">IF(F18=0,0,D18-F18)</f>
        <v>0</v>
      </c>
    </row>
    <row r="19" spans="1:8" x14ac:dyDescent="0.25">
      <c r="A19" s="1937"/>
      <c r="B19" s="1938"/>
      <c r="C19" s="1939"/>
      <c r="D19" s="1844"/>
      <c r="E19" s="1540">
        <f t="shared" si="2"/>
        <v>0</v>
      </c>
      <c r="F19" s="1932">
        <f t="shared" si="1"/>
        <v>0</v>
      </c>
      <c r="G19" s="1793">
        <f t="shared" si="3"/>
        <v>0</v>
      </c>
    </row>
    <row r="20" spans="1:8" x14ac:dyDescent="0.25">
      <c r="A20" s="1937"/>
      <c r="B20" s="1938"/>
      <c r="C20" s="1939"/>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83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si="17"/>
        <v>0</v>
      </c>
      <c r="F134" s="1932">
        <f t="shared" si="6"/>
        <v>0</v>
      </c>
      <c r="G134" s="1793">
        <f t="shared" si="18"/>
        <v>0</v>
      </c>
    </row>
    <row r="135" spans="1:7" hidden="1" x14ac:dyDescent="0.25">
      <c r="A135" s="1653"/>
      <c r="B135" s="1667"/>
      <c r="C135" s="1654"/>
      <c r="D135" s="1844"/>
      <c r="E135" s="1540">
        <f t="shared" ref="E135:E139" si="19">IF(D135&lt;=25000,D135,IF(D135&gt;25000,25000,0))</f>
        <v>0</v>
      </c>
      <c r="F135" s="1932">
        <f t="shared" si="6"/>
        <v>0</v>
      </c>
      <c r="G135" s="1793">
        <f t="shared" ref="G135:G139" si="20">IF(F135=0,0,D135-F135)</f>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7"/>
      <c r="C139" s="1654"/>
      <c r="D139" s="1844"/>
      <c r="E139" s="1540">
        <f t="shared" si="19"/>
        <v>0</v>
      </c>
      <c r="F139" s="1932">
        <f t="shared" si="6"/>
        <v>0</v>
      </c>
      <c r="G139" s="1793">
        <f t="shared" si="20"/>
        <v>0</v>
      </c>
    </row>
    <row r="140" spans="1:7" hidden="1"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2006</v>
      </c>
      <c r="E141" s="1541">
        <f t="shared" si="0"/>
        <v>2006</v>
      </c>
      <c r="F141" s="1933">
        <f>SUM(F17:F140)</f>
        <v>2006</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0" t="s">
        <v>1976</v>
      </c>
      <c r="B11" s="2291"/>
      <c r="C11" s="2291"/>
      <c r="D11" s="2292"/>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416677</v>
      </c>
      <c r="F19" s="1799"/>
      <c r="G19" s="1801">
        <f>'Expenditures 15-22'!K33-SUM('Expenditures 15-22'!G33,'Expenditures 15-22'!I33)+'Expenditures 15-22'!D229</f>
        <v>416677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13198</v>
      </c>
      <c r="F23" s="1802"/>
      <c r="G23" s="1804">
        <f>'Expenditures 15-22'!K53-SUM('Expenditures 15-22'!G53,'Expenditures 15-22'!I53)+'Expenditures 15-22'!D257+'Expenditures 15-22'!K330-SUM('Expenditures 15-22'!G330,'Expenditures 15-22'!I330)</f>
        <v>13198</v>
      </c>
      <c r="H23" s="987"/>
      <c r="I23" s="162"/>
    </row>
    <row r="24" spans="1:9" s="668" customFormat="1" ht="12" customHeight="1" x14ac:dyDescent="0.2">
      <c r="A24" s="994" t="s">
        <v>566</v>
      </c>
      <c r="B24" s="995"/>
      <c r="C24" s="993">
        <v>2400</v>
      </c>
      <c r="D24" s="1802"/>
      <c r="E24" s="1804">
        <f>'Expenditures 15-22'!K57-SUM('Expenditures 15-22'!G57,'Expenditures 15-22'!I57)+'Expenditures 15-22'!D261</f>
        <v>147162</v>
      </c>
      <c r="F24" s="1802"/>
      <c r="G24" s="1805">
        <f>'Expenditures 15-22'!K57-SUM('Expenditures 15-22'!G57,'Expenditures 15-22'!I57)+'Expenditures 15-22'!D261</f>
        <v>147162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72525</v>
      </c>
      <c r="F28" s="1806">
        <f>'Expenditures 15-22'!K61-SUM('Expenditures 15-22'!G61,'Expenditures 15-22'!I61)+'Expenditures 15-22'!K124-SUM('Expenditures 15-22'!G124,'Expenditures 15-22'!I124)+'Expenditures 15-22'!D266-E9</f>
        <v>72525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649562</v>
      </c>
      <c r="F41" s="1806">
        <f>SUM(F19:F39)</f>
        <v>72525</v>
      </c>
      <c r="G41" s="1806">
        <f>SUM(G19:G40)</f>
        <v>577037</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0</v>
      </c>
      <c r="F43" s="1807" t="s">
        <v>473</v>
      </c>
      <c r="G43" s="1808">
        <f>F41</f>
        <v>72525</v>
      </c>
    </row>
    <row r="44" spans="1:7" ht="12" customHeight="1" x14ac:dyDescent="0.2">
      <c r="A44" s="987"/>
      <c r="B44" s="162"/>
      <c r="C44" s="1001"/>
      <c r="D44" s="1807" t="s">
        <v>474</v>
      </c>
      <c r="E44" s="1808">
        <f>E41</f>
        <v>649562</v>
      </c>
      <c r="F44" s="1807" t="s">
        <v>474</v>
      </c>
      <c r="G44" s="1808">
        <f>G41</f>
        <v>577037</v>
      </c>
    </row>
    <row r="45" spans="1:7" ht="12" customHeight="1" x14ac:dyDescent="0.2">
      <c r="A45" s="987"/>
      <c r="B45" s="162"/>
      <c r="C45" s="162"/>
      <c r="D45" s="1809" t="s">
        <v>1006</v>
      </c>
      <c r="E45" s="1810">
        <f>(E43/E44)</f>
        <v>0</v>
      </c>
      <c r="F45" s="1809" t="s">
        <v>1006</v>
      </c>
      <c r="G45" s="1810">
        <f>(G43/G44)</f>
        <v>0.12568518136618623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17" sqref="C1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7" t="s">
        <v>1379</v>
      </c>
      <c r="B1" s="2307"/>
      <c r="C1" s="2307"/>
      <c r="D1" s="2307"/>
      <c r="E1" s="2307"/>
      <c r="F1" s="2307"/>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8" t="s">
        <v>1546</v>
      </c>
      <c r="B5" s="2309"/>
      <c r="C5" s="2310"/>
      <c r="D5" s="2310"/>
      <c r="E5" s="2310"/>
      <c r="F5" s="2310"/>
    </row>
    <row r="6" spans="1:10" ht="12" customHeight="1" x14ac:dyDescent="0.25">
      <c r="A6" s="1850"/>
      <c r="B6" s="1851"/>
      <c r="C6" s="2311" t="str">
        <f>COVER!A17</f>
        <v>BEHAVIOR DISORDER PROGRAM</v>
      </c>
      <c r="D6" s="2311"/>
      <c r="E6" s="2311"/>
      <c r="F6" s="1852"/>
    </row>
    <row r="7" spans="1:10" ht="11.25" customHeight="1" thickBot="1" x14ac:dyDescent="0.3">
      <c r="A7" s="1850"/>
      <c r="B7" s="1851"/>
      <c r="C7" s="2312">
        <f>COVER!A13</f>
        <v>28006000000</v>
      </c>
      <c r="D7" s="2312"/>
      <c r="E7" s="2312"/>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2064</v>
      </c>
      <c r="D14" s="1865" t="s">
        <v>2064</v>
      </c>
      <c r="E14" s="1868"/>
      <c r="F14" s="1867" t="s">
        <v>2086</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2064</v>
      </c>
      <c r="D16" s="1865" t="s">
        <v>2064</v>
      </c>
      <c r="E16" s="1868"/>
      <c r="F16" s="1867" t="s">
        <v>2087</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73"/>
      <c r="B39" s="1873"/>
      <c r="C39" s="1873"/>
      <c r="D39" s="1873"/>
      <c r="E39" s="1873"/>
      <c r="F39" s="1873"/>
    </row>
    <row r="40" spans="1:11" s="1870" customFormat="1" ht="12" customHeight="1" x14ac:dyDescent="0.25">
      <c r="A40" s="1874" t="s">
        <v>1391</v>
      </c>
      <c r="B40" s="1875"/>
      <c r="C40" s="2302"/>
      <c r="D40" s="2302"/>
      <c r="E40" s="2302"/>
      <c r="F40" s="2303"/>
      <c r="H40" s="1879"/>
      <c r="I40" s="1879"/>
      <c r="J40" s="1879"/>
      <c r="K40" s="1879"/>
    </row>
    <row r="41" spans="1:11" s="1870" customFormat="1" ht="12" customHeight="1" x14ac:dyDescent="0.25">
      <c r="A41" s="2304"/>
      <c r="B41" s="2305"/>
      <c r="C41" s="2305"/>
      <c r="D41" s="2305"/>
      <c r="E41" s="2305"/>
      <c r="F41" s="2306"/>
      <c r="H41" s="1879"/>
      <c r="I41" s="1879"/>
      <c r="J41" s="1879"/>
      <c r="K41" s="1879"/>
    </row>
    <row r="42" spans="1:11" s="1870" customFormat="1" ht="12" customHeight="1" x14ac:dyDescent="0.25">
      <c r="A42" s="2304"/>
      <c r="B42" s="2305"/>
      <c r="C42" s="2305"/>
      <c r="D42" s="2305"/>
      <c r="E42" s="2305"/>
      <c r="F42" s="2306"/>
      <c r="H42" s="1879"/>
      <c r="I42" s="1879"/>
      <c r="J42" s="1879"/>
      <c r="K42" s="1879"/>
    </row>
    <row r="43" spans="1:11" s="1870" customFormat="1" ht="15" x14ac:dyDescent="0.25">
      <c r="A43" s="2293"/>
      <c r="B43" s="2294"/>
      <c r="C43" s="2294"/>
      <c r="D43" s="2294"/>
      <c r="E43" s="2294"/>
      <c r="F43" s="2295"/>
      <c r="H43" s="1879"/>
      <c r="I43" s="1879"/>
      <c r="J43" s="1879"/>
      <c r="K43" s="1879"/>
    </row>
    <row r="44" spans="1:11" s="1870" customFormat="1" ht="12" hidden="1" customHeight="1" x14ac:dyDescent="0.25">
      <c r="A44" s="2293"/>
      <c r="B44" s="2294"/>
      <c r="C44" s="2294"/>
      <c r="D44" s="2294"/>
      <c r="E44" s="2294"/>
      <c r="F44" s="229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2" sqref="H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BEHAVIOR DISORDER PROGRAM</v>
      </c>
      <c r="J6" s="2321"/>
      <c r="Q6" s="1664"/>
    </row>
    <row r="7" spans="1:17" x14ac:dyDescent="0.2">
      <c r="A7" s="2322" t="s">
        <v>869</v>
      </c>
      <c r="B7" s="2323"/>
      <c r="C7" s="2323"/>
      <c r="D7" s="2323"/>
      <c r="E7" s="2324"/>
      <c r="F7" s="1017"/>
      <c r="G7" s="1009"/>
      <c r="H7" s="1016" t="s">
        <v>372</v>
      </c>
      <c r="I7" s="2325">
        <f>COVER!A13</f>
        <v>28006000000</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0</v>
      </c>
      <c r="F19" s="1813">
        <f t="shared" si="2"/>
        <v>0</v>
      </c>
      <c r="G19" s="1813">
        <f t="shared" si="2"/>
        <v>0</v>
      </c>
      <c r="H19" s="1813">
        <f t="shared" si="2"/>
        <v>0</v>
      </c>
      <c r="I19" s="1813">
        <f t="shared" si="2"/>
        <v>0</v>
      </c>
      <c r="J19" s="1813">
        <f t="shared" si="2"/>
        <v>0</v>
      </c>
    </row>
    <row r="20" spans="1:10" ht="13.5" thickTop="1" x14ac:dyDescent="0.2">
      <c r="A20" s="1035">
        <v>9</v>
      </c>
      <c r="B20" s="2332" t="s">
        <v>1980</v>
      </c>
      <c r="C20" s="2332"/>
      <c r="D20" s="2333"/>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1982</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2089</v>
      </c>
    </row>
    <row r="6" spans="1:2" ht="38.25" x14ac:dyDescent="0.2">
      <c r="A6" s="1068">
        <v>2</v>
      </c>
      <c r="B6" s="1940" t="s">
        <v>2088</v>
      </c>
    </row>
    <row r="7" spans="1:2" x14ac:dyDescent="0.2">
      <c r="A7" s="1068"/>
    </row>
    <row r="8" spans="1:2" x14ac:dyDescent="0.2">
      <c r="A8" s="1068"/>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BEHAVIOR DISORDER PROGRAM</v>
      </c>
    </row>
    <row r="65" spans="2:2" x14ac:dyDescent="0.2">
      <c r="B65" s="1070">
        <f>COVER!A13</f>
        <v>28006000000</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 sqref="C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1247775</xdr:colOff>
                <xdr:row>0</xdr:row>
                <xdr:rowOff>47625</xdr:rowOff>
              </from>
              <to>
                <xdr:col>1</xdr:col>
                <xdr:colOff>2162175</xdr:colOff>
                <xdr:row>4</xdr:row>
                <xdr:rowOff>85725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1986</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1987</v>
      </c>
      <c r="B4" s="2360"/>
      <c r="C4" s="2360"/>
      <c r="D4" s="2360"/>
      <c r="E4" s="2360"/>
      <c r="F4" s="2361"/>
      <c r="G4" s="1074"/>
      <c r="H4" s="1074"/>
    </row>
    <row r="5" spans="1:8" ht="14.25" customHeight="1" x14ac:dyDescent="0.2">
      <c r="A5" s="2362" t="s">
        <v>1983</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615323</v>
      </c>
      <c r="C8" s="1815">
        <f>'Acct Summary 7-8'!D8</f>
        <v>0</v>
      </c>
      <c r="D8" s="1815">
        <f>'Acct Summary 7-8'!F8</f>
        <v>0</v>
      </c>
      <c r="E8" s="1815">
        <f>'Acct Summary 7-8'!I8</f>
        <v>0</v>
      </c>
      <c r="F8" s="1815">
        <f>SUM(B8:E8)</f>
        <v>615323</v>
      </c>
    </row>
    <row r="9" spans="1:8" s="1079" customFormat="1" ht="14.25" customHeight="1" thickBot="1" x14ac:dyDescent="0.25">
      <c r="A9" s="1078" t="s">
        <v>1369</v>
      </c>
      <c r="B9" s="1816">
        <f>'Acct Summary 7-8'!C17</f>
        <v>665321</v>
      </c>
      <c r="C9" s="1816">
        <f>'Acct Summary 7-8'!D17</f>
        <v>0</v>
      </c>
      <c r="D9" s="1816">
        <f>'Acct Summary 7-8'!F17</f>
        <v>0</v>
      </c>
      <c r="E9" s="1815"/>
      <c r="F9" s="1815">
        <f>SUM(B9:E9)</f>
        <v>665321</v>
      </c>
    </row>
    <row r="10" spans="1:8" s="1079" customFormat="1" ht="14.25" thickTop="1" thickBot="1" x14ac:dyDescent="0.25">
      <c r="A10" s="1080" t="s">
        <v>1370</v>
      </c>
      <c r="B10" s="1817">
        <f>(B8-B9)</f>
        <v>-49998</v>
      </c>
      <c r="C10" s="1817">
        <f>(C8-C9)</f>
        <v>0</v>
      </c>
      <c r="D10" s="1817">
        <f>(D8-D9)</f>
        <v>0</v>
      </c>
      <c r="E10" s="1816">
        <f>(E8-E9)</f>
        <v>0</v>
      </c>
      <c r="F10" s="1818">
        <f>SUM(F8-F9)</f>
        <v>-49998</v>
      </c>
    </row>
    <row r="11" spans="1:8" s="1079" customFormat="1" ht="14.25" thickTop="1" thickBot="1" x14ac:dyDescent="0.25">
      <c r="A11" s="1081" t="s">
        <v>1984</v>
      </c>
      <c r="B11" s="1819">
        <f>'Acct Summary 7-8'!C81</f>
        <v>150809</v>
      </c>
      <c r="C11" s="1819">
        <f>'Acct Summary 7-8'!D81</f>
        <v>0</v>
      </c>
      <c r="D11" s="1819">
        <f>'Acct Summary 7-8'!F81</f>
        <v>0</v>
      </c>
      <c r="E11" s="1819">
        <f>'Acct Summary 7-8'!I81</f>
        <v>0</v>
      </c>
      <c r="F11" s="1820">
        <f>SUM(B11:E11)</f>
        <v>150809</v>
      </c>
    </row>
    <row r="12" spans="1:8" ht="16.5" customHeight="1" thickTop="1" x14ac:dyDescent="0.2">
      <c r="A12" s="1082"/>
      <c r="B12" s="1083"/>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8"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ENTRY IS REQUIRED!</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28006000000</v>
      </c>
    </row>
    <row r="3" spans="1:2" x14ac:dyDescent="0.2">
      <c r="A3" t="s">
        <v>956</v>
      </c>
      <c r="B3" s="138" t="str">
        <f>COVER!A15</f>
        <v>BUREAU</v>
      </c>
    </row>
    <row r="4" spans="1:2" x14ac:dyDescent="0.2">
      <c r="A4" t="s">
        <v>1007</v>
      </c>
      <c r="B4" s="138" t="str">
        <f>COVER!A17</f>
        <v>BEHAVIOR DISORDER PROGRAM</v>
      </c>
    </row>
    <row r="5" spans="1:2" x14ac:dyDescent="0.2">
      <c r="A5" t="s">
        <v>704</v>
      </c>
      <c r="B5" s="138" t="str">
        <f>COVER!A38</f>
        <v>EGAN HICKS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150809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150809</v>
      </c>
      <c r="D92" s="2" t="str">
        <f t="shared" si="0"/>
        <v>Error?</v>
      </c>
    </row>
    <row r="93" spans="1:4" x14ac:dyDescent="0.2">
      <c r="A93" s="5">
        <v>32</v>
      </c>
      <c r="B93" s="138">
        <f>'Assets-Liab 5-6'!C41</f>
        <v>150809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56473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56473</v>
      </c>
      <c r="C279" s="2" t="s">
        <v>573</v>
      </c>
      <c r="D279" s="2" t="str">
        <f t="shared" si="3"/>
        <v>Error?</v>
      </c>
    </row>
    <row r="280" spans="1:4" x14ac:dyDescent="0.2">
      <c r="A280" s="5">
        <v>219</v>
      </c>
      <c r="B280" s="138">
        <f>'Assets-Liab 5-6'!M40</f>
        <v>56473</v>
      </c>
      <c r="D280" s="2" t="str">
        <f t="shared" si="3"/>
        <v>Error?</v>
      </c>
    </row>
    <row r="281" spans="1:4" x14ac:dyDescent="0.2">
      <c r="A281" s="5">
        <v>220</v>
      </c>
      <c r="B281" s="138">
        <f>'Assets-Liab 5-6'!M41</f>
        <v>56473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309366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114423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114423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23213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23213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137636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447002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83373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31394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31394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9582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9582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40976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124349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11425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2700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13198</v>
      </c>
      <c r="C850" s="2" t="s">
        <v>573</v>
      </c>
      <c r="D850" s="2" t="str">
        <f t="shared" si="12"/>
        <v>Error?</v>
      </c>
    </row>
    <row r="851" spans="1:4" x14ac:dyDescent="0.2">
      <c r="A851" s="5">
        <v>790</v>
      </c>
      <c r="B851" s="138">
        <f>'Expenditures 15-22'!E55</f>
        <v>1260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1260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39238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39238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53696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80880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12267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492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492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577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12844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246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416677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2700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13198</v>
      </c>
      <c r="C1122" s="2" t="s">
        <v>573</v>
      </c>
      <c r="D1122" s="2" t="str">
        <f t="shared" si="16"/>
        <v>Error?</v>
      </c>
    </row>
    <row r="1123" spans="1:4" x14ac:dyDescent="0.2">
      <c r="A1123" s="5">
        <v>1062</v>
      </c>
      <c r="B1123" s="138">
        <f>'Expenditures 15-22'!K55</f>
        <v>147162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147162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72525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72525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232885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15759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665321</v>
      </c>
      <c r="C1152" s="2" t="s">
        <v>573</v>
      </c>
      <c r="D1152" s="2" t="str">
        <f t="shared" si="17"/>
        <v>Error?</v>
      </c>
    </row>
    <row r="1153" spans="1:4" x14ac:dyDescent="0.2">
      <c r="A1153" s="5">
        <v>1092</v>
      </c>
      <c r="B1153" s="138">
        <f>'Expenditures 15-22'!K115</f>
        <v>-49998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200807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150809</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45994</v>
      </c>
      <c r="D2011" s="2" t="str">
        <f t="shared" si="30"/>
        <v>Error?</v>
      </c>
    </row>
    <row r="2012" spans="1:4" x14ac:dyDescent="0.2">
      <c r="A2012" s="5">
        <v>1951</v>
      </c>
      <c r="B2012" s="138">
        <f>'Cap Outlay Deprec 26'!C13</f>
        <v>10479</v>
      </c>
      <c r="D2012" s="2" t="str">
        <f t="shared" si="30"/>
        <v>Error?</v>
      </c>
    </row>
    <row r="2013" spans="1:4" x14ac:dyDescent="0.2">
      <c r="A2013" s="5">
        <v>1952</v>
      </c>
      <c r="B2013" s="138">
        <f>'Cap Outlay Deprec 26'!C16</f>
        <v>56473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45994</v>
      </c>
      <c r="C2029" s="2" t="s">
        <v>573</v>
      </c>
      <c r="D2029" s="2" t="str">
        <f t="shared" si="30"/>
        <v>Error?</v>
      </c>
    </row>
    <row r="2030" spans="1:4" x14ac:dyDescent="0.2">
      <c r="A2030" s="5">
        <v>1969</v>
      </c>
      <c r="B2030" s="138">
        <f>'Cap Outlay Deprec 26'!F13</f>
        <v>10479</v>
      </c>
      <c r="C2030" s="2" t="s">
        <v>573</v>
      </c>
      <c r="D2030" s="2" t="str">
        <f t="shared" si="30"/>
        <v>Error?</v>
      </c>
    </row>
    <row r="2031" spans="1:4" x14ac:dyDescent="0.2">
      <c r="A2031" s="5">
        <v>1970</v>
      </c>
      <c r="B2031" s="138">
        <f>'Cap Outlay Deprec 26'!F16</f>
        <v>56473</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43955</v>
      </c>
      <c r="D2035" s="2" t="str">
        <f t="shared" si="30"/>
        <v>Error?</v>
      </c>
    </row>
    <row r="2036" spans="1:4" x14ac:dyDescent="0.2">
      <c r="A2036" s="5">
        <v>1975</v>
      </c>
      <c r="B2036" s="138">
        <f>'Cap Outlay Deprec 26'!H13</f>
        <v>5981</v>
      </c>
      <c r="D2036" s="2" t="str">
        <f t="shared" si="30"/>
        <v>Error?</v>
      </c>
    </row>
    <row r="2037" spans="1:4" x14ac:dyDescent="0.2">
      <c r="A2037" s="5">
        <v>1976</v>
      </c>
      <c r="B2037" s="138">
        <f>'Cap Outlay Deprec 26'!H16</f>
        <v>49936</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303</v>
      </c>
      <c r="D2041" s="2" t="str">
        <f t="shared" si="30"/>
        <v>Error?</v>
      </c>
    </row>
    <row r="2042" spans="1:4" x14ac:dyDescent="0.2">
      <c r="A2042" s="5">
        <v>1981</v>
      </c>
      <c r="B2042" s="138">
        <f>'Cap Outlay Deprec 26'!I13</f>
        <v>2096</v>
      </c>
      <c r="D2042" s="2" t="str">
        <f t="shared" si="30"/>
        <v>Error?</v>
      </c>
    </row>
    <row r="2043" spans="1:4" x14ac:dyDescent="0.2">
      <c r="A2043" s="5">
        <v>1982</v>
      </c>
      <c r="B2043" s="138">
        <f>'Cap Outlay Deprec 26'!I16</f>
        <v>2399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44258</v>
      </c>
      <c r="C2053" s="2" t="s">
        <v>573</v>
      </c>
      <c r="D2053" s="2" t="str">
        <f t="shared" si="31"/>
        <v>Error?</v>
      </c>
    </row>
    <row r="2054" spans="1:4" x14ac:dyDescent="0.2">
      <c r="A2054" s="5">
        <v>1993</v>
      </c>
      <c r="B2054" s="138">
        <f>'Cap Outlay Deprec 26'!K13</f>
        <v>8077</v>
      </c>
      <c r="C2054" s="2" t="s">
        <v>573</v>
      </c>
      <c r="D2054" s="2" t="str">
        <f t="shared" si="31"/>
        <v>Error?</v>
      </c>
    </row>
    <row r="2055" spans="1:4" x14ac:dyDescent="0.2">
      <c r="A2055" s="5">
        <v>1994</v>
      </c>
      <c r="B2055" s="138">
        <f>'Cap Outlay Deprec 26'!K16</f>
        <v>52335</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1736</v>
      </c>
      <c r="C2059" s="2" t="s">
        <v>573</v>
      </c>
      <c r="D2059" s="2" t="str">
        <f t="shared" si="31"/>
        <v>Error?</v>
      </c>
    </row>
    <row r="2060" spans="1:4" x14ac:dyDescent="0.2">
      <c r="A2060" s="5">
        <v>1999</v>
      </c>
      <c r="B2060" s="138">
        <f>'Cap Outlay Deprec 26'!L13</f>
        <v>2402</v>
      </c>
      <c r="C2060" s="2" t="s">
        <v>573</v>
      </c>
      <c r="D2060" s="2" t="str">
        <f t="shared" si="31"/>
        <v>Error?</v>
      </c>
    </row>
    <row r="2061" spans="1:4" x14ac:dyDescent="0.2">
      <c r="A2061" s="5">
        <v>2000</v>
      </c>
      <c r="B2061" s="138">
        <f>'Cap Outlay Deprec 26'!L16</f>
        <v>4138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15759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528367</v>
      </c>
      <c r="C2551" s="2" t="s">
        <v>573</v>
      </c>
      <c r="D2551" s="2" t="str">
        <f t="shared" si="38"/>
        <v>Error?</v>
      </c>
    </row>
    <row r="2552" spans="1:4" x14ac:dyDescent="0.2">
      <c r="A2552" s="10">
        <v>2491</v>
      </c>
      <c r="D2552" s="2" t="str">
        <f t="shared" si="38"/>
        <v>OK</v>
      </c>
    </row>
    <row r="2553" spans="1:4" x14ac:dyDescent="0.2">
      <c r="A2553" s="5">
        <v>2492</v>
      </c>
      <c r="B2553" s="138">
        <f>'Acct Summary 7-8'!C6</f>
        <v>58135</v>
      </c>
      <c r="C2553" s="2" t="s">
        <v>573</v>
      </c>
      <c r="D2553" s="2" t="str">
        <f t="shared" si="38"/>
        <v>Error?</v>
      </c>
    </row>
    <row r="2554" spans="1:4" x14ac:dyDescent="0.2">
      <c r="A2554" s="5">
        <v>2493</v>
      </c>
      <c r="B2554" s="138">
        <f>'Acct Summary 7-8'!C7</f>
        <v>28821</v>
      </c>
      <c r="C2554" s="2" t="s">
        <v>573</v>
      </c>
      <c r="D2554" s="2" t="str">
        <f t="shared" si="38"/>
        <v>Error?</v>
      </c>
    </row>
    <row r="2555" spans="1:4" x14ac:dyDescent="0.2">
      <c r="A2555" s="5">
        <v>2494</v>
      </c>
      <c r="B2555" s="138">
        <f>'Acct Summary 7-8'!C8</f>
        <v>615323</v>
      </c>
      <c r="C2555" s="2" t="s">
        <v>573</v>
      </c>
      <c r="D2555" s="2" t="str">
        <f t="shared" si="38"/>
        <v>Error?</v>
      </c>
    </row>
    <row r="2556" spans="1:4" x14ac:dyDescent="0.2">
      <c r="A2556" s="5">
        <v>2495</v>
      </c>
      <c r="B2556" s="138">
        <f>'Acct Summary 7-8'!C12</f>
        <v>416677</v>
      </c>
      <c r="C2556" s="2" t="s">
        <v>573</v>
      </c>
      <c r="D2556" s="2" t="str">
        <f t="shared" si="38"/>
        <v>Error?</v>
      </c>
    </row>
    <row r="2557" spans="1:4" x14ac:dyDescent="0.2">
      <c r="A2557" s="5">
        <v>2496</v>
      </c>
      <c r="B2557" s="138">
        <f>'Acct Summary 7-8'!C13</f>
        <v>232885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15759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665321</v>
      </c>
      <c r="C2561" s="2" t="s">
        <v>573</v>
      </c>
      <c r="D2561" s="2" t="str">
        <f t="shared" si="39"/>
        <v>Error?</v>
      </c>
    </row>
    <row r="2562" spans="1:4" x14ac:dyDescent="0.2">
      <c r="A2562" s="5">
        <v>2501</v>
      </c>
      <c r="B2562" s="138">
        <f>'Acct Summary 7-8'!C20</f>
        <v>-49998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15759</v>
      </c>
      <c r="C2789" s="2" t="s">
        <v>573</v>
      </c>
      <c r="D2789" s="2" t="str">
        <f t="shared" si="42"/>
        <v>Error?</v>
      </c>
    </row>
    <row r="2790" spans="1:4" x14ac:dyDescent="0.2">
      <c r="A2790" s="5">
        <v>2729</v>
      </c>
      <c r="B2790" s="138">
        <f>'Expenditures 15-22'!E102</f>
        <v>15759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15759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15759</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-49998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309366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83373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7025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12267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246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412277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150809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615323</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665321</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150809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3221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25600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512056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512056</v>
      </c>
      <c r="C5087" s="2" t="s">
        <v>573</v>
      </c>
      <c r="D5087" s="2" t="str">
        <f t="shared" si="78"/>
        <v>Error?</v>
      </c>
    </row>
    <row r="5088" spans="1:4" x14ac:dyDescent="0.2">
      <c r="A5088" s="5">
        <v>5027</v>
      </c>
      <c r="B5088" s="138">
        <f>'Revenues 9-14'!C65</f>
        <v>292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15540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479</v>
      </c>
      <c r="D5119" s="2" t="str">
        <f t="shared" ref="D5119:D5182" si="79">IF(ISBLANK(B5119),"OK",IF(A5119-B5119=0,"OK","Error?"))</f>
        <v>Error?</v>
      </c>
    </row>
    <row r="5120" spans="1:4" x14ac:dyDescent="0.2">
      <c r="A5120" s="5">
        <v>5059</v>
      </c>
      <c r="B5120" s="138">
        <f>'Revenues 9-14'!C108</f>
        <v>16019</v>
      </c>
      <c r="C5120" s="2" t="s">
        <v>573</v>
      </c>
      <c r="D5120" s="2" t="str">
        <f t="shared" si="79"/>
        <v>Error?</v>
      </c>
    </row>
    <row r="5121" spans="1:4" x14ac:dyDescent="0.2">
      <c r="A5121" s="5">
        <v>5060</v>
      </c>
      <c r="B5121" s="138">
        <f>'Revenues 9-14'!C109</f>
        <v>528367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58135</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58135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58135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58135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28821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28821</v>
      </c>
      <c r="C5326" s="2" t="s">
        <v>573</v>
      </c>
      <c r="D5326" s="2" t="str">
        <f t="shared" si="82"/>
        <v>Error?</v>
      </c>
    </row>
    <row r="5327" spans="1:5" x14ac:dyDescent="0.2">
      <c r="A5327" s="5">
        <v>5266</v>
      </c>
      <c r="B5327" s="138">
        <f>'Revenues 9-14'!C268</f>
        <v>615323</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-49998</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-0.33153193774907336</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4400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10498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10498</v>
      </c>
      <c r="D6940" s="2" t="str">
        <f t="shared" si="107"/>
        <v>Error?</v>
      </c>
    </row>
    <row r="6941" spans="1:4" x14ac:dyDescent="0.2">
      <c r="A6941">
        <v>6880</v>
      </c>
      <c r="B6941" s="138">
        <f>'Expenditures 15-22'!L52</f>
        <v>10900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4400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2399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2006</v>
      </c>
      <c r="D7797" s="2" t="str">
        <f t="shared" si="127"/>
        <v>Error?</v>
      </c>
      <c r="E7797" s="4" t="s">
        <v>1903</v>
      </c>
    </row>
    <row r="7798" spans="1:5" x14ac:dyDescent="0.2">
      <c r="A7798">
        <v>7737</v>
      </c>
      <c r="B7798" s="138">
        <f>'Contracts Paid in CY 29'!F141</f>
        <v>2006</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7" t="s">
        <v>1191</v>
      </c>
      <c r="B2" s="2407"/>
      <c r="C2" s="2407"/>
      <c r="D2" s="2407"/>
      <c r="E2" s="2407"/>
      <c r="F2" s="2407"/>
      <c r="G2" s="2407"/>
      <c r="H2" s="2407"/>
      <c r="I2" s="2407"/>
      <c r="J2" s="2407"/>
      <c r="K2" s="2407"/>
      <c r="L2" s="2407"/>
    </row>
    <row r="3" spans="1:29" ht="13.5" customHeight="1" x14ac:dyDescent="0.2">
      <c r="A3" s="2393" t="s">
        <v>1190</v>
      </c>
      <c r="B3" s="2393"/>
      <c r="C3" s="2393"/>
      <c r="D3" s="2393"/>
      <c r="E3" s="2393"/>
      <c r="F3" s="2393"/>
      <c r="G3" s="2393"/>
      <c r="H3" s="2393"/>
      <c r="I3" s="2393"/>
      <c r="J3" s="2393"/>
      <c r="K3" s="2393"/>
      <c r="L3" s="2393"/>
    </row>
    <row r="4" spans="1:29" ht="13.5" customHeight="1" x14ac:dyDescent="0.2">
      <c r="A4" s="2407" t="s">
        <v>1988</v>
      </c>
      <c r="B4" s="2424"/>
      <c r="C4" s="2424"/>
      <c r="D4" s="2424"/>
      <c r="E4" s="2424"/>
      <c r="F4" s="2424"/>
      <c r="G4" s="2424"/>
      <c r="H4" s="2424"/>
      <c r="I4" s="2424"/>
      <c r="J4" s="2424"/>
      <c r="K4" s="2424"/>
      <c r="L4" s="242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7" t="str">
        <f>COVER!A17</f>
        <v>BEHAVIOR DISORDER PROGRAM</v>
      </c>
      <c r="B7" s="2388"/>
      <c r="C7" s="2388"/>
      <c r="D7" s="2425"/>
      <c r="E7" s="2426">
        <f>COVER!A13</f>
        <v>28006000000</v>
      </c>
      <c r="F7" s="2427"/>
      <c r="G7" s="2394" t="str">
        <f>COVER!T23</f>
        <v>066-004501</v>
      </c>
      <c r="H7" s="2395"/>
      <c r="I7" s="2395"/>
      <c r="J7" s="2395"/>
      <c r="K7" s="2395"/>
      <c r="L7" s="239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7"/>
      <c r="B9" s="2398"/>
      <c r="C9" s="2398"/>
      <c r="D9" s="2398"/>
      <c r="E9" s="2398"/>
      <c r="F9" s="2399"/>
      <c r="G9" s="2400" t="str">
        <f>COVER!T13</f>
        <v xml:space="preserve">HOPKINS &amp; ASSOCIATES, CPAS </v>
      </c>
      <c r="H9" s="2401"/>
      <c r="I9" s="2401"/>
      <c r="J9" s="2401"/>
      <c r="K9" s="2401"/>
      <c r="L9" s="2402"/>
    </row>
    <row r="10" spans="1:29" ht="13.5" customHeight="1" x14ac:dyDescent="0.2">
      <c r="A10" s="2384" t="str">
        <f>COVER!A38</f>
        <v>EGAN HICKS</v>
      </c>
      <c r="B10" s="2385"/>
      <c r="C10" s="2385"/>
      <c r="D10" s="2385"/>
      <c r="E10" s="2385"/>
      <c r="F10" s="2386"/>
      <c r="G10" s="2400" t="str">
        <f>COVER!T17</f>
        <v>314 S MCCOY STREET</v>
      </c>
      <c r="H10" s="2413"/>
      <c r="I10" s="2413"/>
      <c r="J10" s="2413"/>
      <c r="K10" s="2413"/>
      <c r="L10" s="2414"/>
    </row>
    <row r="11" spans="1:29" ht="13.5" customHeight="1" x14ac:dyDescent="0.2">
      <c r="A11" s="1184" t="s">
        <v>1519</v>
      </c>
      <c r="B11" s="1185"/>
      <c r="C11" s="1186"/>
      <c r="D11" s="1191"/>
      <c r="E11" s="1186"/>
      <c r="F11" s="1190"/>
      <c r="G11" s="2400" t="str">
        <f>COVER!T19</f>
        <v>GRANVILLE</v>
      </c>
      <c r="H11" s="2413"/>
      <c r="I11" s="2413"/>
      <c r="J11" s="2413"/>
      <c r="K11" s="2413"/>
      <c r="L11" s="2414"/>
    </row>
    <row r="12" spans="1:29" ht="13.5" customHeight="1" x14ac:dyDescent="0.2">
      <c r="A12" s="2418" t="s">
        <v>1518</v>
      </c>
      <c r="B12" s="2419"/>
      <c r="C12" s="2419"/>
      <c r="D12" s="2419"/>
      <c r="E12" s="2419"/>
      <c r="F12" s="2420"/>
      <c r="G12" s="2415"/>
      <c r="H12" s="2416"/>
      <c r="I12" s="2416"/>
      <c r="J12" s="2416"/>
      <c r="K12" s="2416"/>
      <c r="L12" s="2417"/>
    </row>
    <row r="13" spans="1:29" ht="13.5" customHeight="1" x14ac:dyDescent="0.2">
      <c r="A13" s="2400"/>
      <c r="B13" s="2413"/>
      <c r="C13" s="2413"/>
      <c r="D13" s="2413"/>
      <c r="E13" s="2413"/>
      <c r="F13" s="2414"/>
      <c r="G13" s="2408" t="s">
        <v>1520</v>
      </c>
      <c r="H13" s="2409"/>
      <c r="I13" s="2421" t="str">
        <f>COVER!T25</f>
        <v>JOEL@HOPKINSOFFICE.COM</v>
      </c>
      <c r="J13" s="2422"/>
      <c r="K13" s="2422"/>
      <c r="L13" s="2423"/>
    </row>
    <row r="14" spans="1:29" ht="13.5" customHeight="1" x14ac:dyDescent="0.2">
      <c r="A14" s="2400" t="str">
        <f>COVER!A19</f>
        <v>400 N GALENA STREET PO BOX 267</v>
      </c>
      <c r="B14" s="2413"/>
      <c r="C14" s="2413"/>
      <c r="D14" s="2413"/>
      <c r="E14" s="2413"/>
      <c r="F14" s="2414"/>
      <c r="G14" s="1195" t="s">
        <v>1185</v>
      </c>
      <c r="H14" s="1193"/>
      <c r="I14" s="1193"/>
      <c r="J14" s="1193"/>
      <c r="K14" s="1193"/>
      <c r="L14" s="1194"/>
    </row>
    <row r="15" spans="1:29" ht="13.5" customHeight="1" x14ac:dyDescent="0.2">
      <c r="A15" s="2400" t="str">
        <f>COVER!A21</f>
        <v>TISKILWA</v>
      </c>
      <c r="B15" s="2413"/>
      <c r="C15" s="2413"/>
      <c r="D15" s="2413"/>
      <c r="E15" s="2413"/>
      <c r="F15" s="2414"/>
      <c r="G15" s="2410" t="str">
        <f>COVER!T15</f>
        <v xml:space="preserve">JOEL HOPKINS </v>
      </c>
      <c r="H15" s="2411"/>
      <c r="I15" s="2411"/>
      <c r="J15" s="2411"/>
      <c r="K15" s="2411"/>
      <c r="L15" s="2412"/>
    </row>
    <row r="16" spans="1:29" ht="12.2" customHeight="1" x14ac:dyDescent="0.2">
      <c r="A16" s="2390">
        <f>COVER!A25</f>
        <v>61368</v>
      </c>
      <c r="B16" s="2391"/>
      <c r="C16" s="2391"/>
      <c r="D16" s="2391"/>
      <c r="E16" s="2391"/>
      <c r="F16" s="2392"/>
      <c r="G16" s="2403"/>
      <c r="H16" s="2404"/>
      <c r="I16" s="2404"/>
      <c r="J16" s="2404"/>
      <c r="K16" s="2404"/>
      <c r="L16" s="2405"/>
    </row>
    <row r="17" spans="1:13" ht="12.2" customHeight="1" x14ac:dyDescent="0.2">
      <c r="A17" s="2406"/>
      <c r="B17" s="2391"/>
      <c r="C17" s="2391"/>
      <c r="D17" s="2391"/>
      <c r="E17" s="2391"/>
      <c r="F17" s="2392"/>
      <c r="G17" s="1195" t="s">
        <v>1184</v>
      </c>
      <c r="H17" s="1193"/>
      <c r="I17" s="1193"/>
      <c r="J17" s="1193"/>
      <c r="K17" s="1197" t="s">
        <v>1183</v>
      </c>
      <c r="L17" s="1190"/>
      <c r="M17" s="1183"/>
    </row>
    <row r="18" spans="1:13" ht="12.2" customHeight="1" x14ac:dyDescent="0.2">
      <c r="A18" s="2384"/>
      <c r="B18" s="2385"/>
      <c r="C18" s="2385"/>
      <c r="D18" s="2385"/>
      <c r="E18" s="2385"/>
      <c r="F18" s="2386"/>
      <c r="G18" s="2387" t="str">
        <f>COVER!T21</f>
        <v>815-339-6630</v>
      </c>
      <c r="H18" s="2388"/>
      <c r="I18" s="2388"/>
      <c r="J18" s="2388"/>
      <c r="K18" s="2387" t="str">
        <f>COVER!X21</f>
        <v>815-339-6643</v>
      </c>
      <c r="L18" s="238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BEHAVIOR DISORDER PROGRAM</v>
      </c>
      <c r="B1" s="2424"/>
      <c r="C1" s="2424"/>
      <c r="D1" s="2424"/>
    </row>
    <row r="2" spans="1:11" s="1212" customFormat="1" ht="12.75" x14ac:dyDescent="0.2">
      <c r="A2" s="2429">
        <f>'Single Audit Cover'!E7</f>
        <v>28006000000</v>
      </c>
      <c r="B2" s="2430"/>
      <c r="C2" s="2430"/>
      <c r="D2" s="2430"/>
    </row>
    <row r="3" spans="1:11" s="1212" customFormat="1" ht="12.75" x14ac:dyDescent="0.2">
      <c r="A3" s="2428" t="s">
        <v>1513</v>
      </c>
      <c r="B3" s="2424"/>
      <c r="C3" s="2424"/>
      <c r="D3" s="242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BEHAVIOR DISORDER PROGRAM</v>
      </c>
      <c r="B1" s="2432"/>
      <c r="C1" s="2432"/>
      <c r="D1" s="2432"/>
      <c r="E1" s="2432"/>
    </row>
    <row r="2" spans="1:5" x14ac:dyDescent="0.2">
      <c r="A2" s="2433">
        <f>'Single Audit Cover'!E7</f>
        <v>28006000000</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28821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-25600</v>
      </c>
    </row>
    <row r="19" spans="1:4" ht="13.5" thickBot="1" x14ac:dyDescent="0.25">
      <c r="A19" s="1262" t="s">
        <v>1235</v>
      </c>
      <c r="D19" s="1263">
        <f>SUM(D10:D17)</f>
        <v>3221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3221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3221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3" t="str">
        <f>'Single Audit Cover'!A7</f>
        <v>BEHAVIOR DISORDER PROGRAM</v>
      </c>
      <c r="C1" s="2436"/>
      <c r="D1" s="2436"/>
      <c r="E1" s="2436"/>
      <c r="F1" s="2436"/>
      <c r="G1" s="2436"/>
      <c r="H1" s="2436"/>
      <c r="I1" s="2436"/>
      <c r="J1" s="2436"/>
      <c r="K1" s="2436"/>
      <c r="L1" s="2436"/>
      <c r="M1" s="2436"/>
    </row>
    <row r="2" spans="2:14" ht="15" x14ac:dyDescent="0.2">
      <c r="B2" s="2437">
        <f>'Single Audit Cover'!E7</f>
        <v>28006000000</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1" t="str">
        <f>'Single Audit Cover'!A7</f>
        <v>BEHAVIOR DISORDER PROGRAM</v>
      </c>
      <c r="B1" s="2441"/>
      <c r="C1" s="2441"/>
      <c r="D1" s="2441"/>
      <c r="E1" s="2441"/>
      <c r="F1" s="2441"/>
    </row>
    <row r="2" spans="1:7" ht="13.5" customHeight="1" x14ac:dyDescent="0.2">
      <c r="A2" s="2437">
        <f>'Single Audit Cover'!E7</f>
        <v>28006000000</v>
      </c>
      <c r="B2" s="2437"/>
      <c r="C2" s="2437"/>
      <c r="D2" s="2437"/>
      <c r="E2" s="2437"/>
      <c r="F2" s="2437"/>
      <c r="G2" s="1272"/>
    </row>
    <row r="3" spans="1:7" ht="15.75" customHeight="1" x14ac:dyDescent="0.2">
      <c r="A3" s="2442" t="s">
        <v>1271</v>
      </c>
      <c r="B3" s="2442"/>
      <c r="C3" s="2442"/>
      <c r="D3" s="2442"/>
      <c r="E3" s="2442"/>
      <c r="F3" s="2442"/>
    </row>
    <row r="4" spans="1:7" ht="13.5" customHeight="1" x14ac:dyDescent="0.2">
      <c r="A4" s="2443" t="str">
        <f>'Single Audit Cover'!A4</f>
        <v>Year Ending June 30, 2019</v>
      </c>
      <c r="B4" s="2443"/>
      <c r="C4" s="2443"/>
      <c r="D4" s="2443"/>
      <c r="E4" s="2443"/>
      <c r="F4" s="2443"/>
    </row>
    <row r="5" spans="1:7" ht="8.25" customHeight="1" x14ac:dyDescent="0.2">
      <c r="C5" s="317"/>
      <c r="D5" s="317"/>
    </row>
    <row r="6" spans="1:7" ht="13.5" customHeight="1" x14ac:dyDescent="0.2">
      <c r="A6" s="1273" t="s">
        <v>1728</v>
      </c>
      <c r="C6" s="317"/>
      <c r="D6" s="317"/>
    </row>
    <row r="7" spans="1:7" ht="60.95" customHeight="1" x14ac:dyDescent="0.2">
      <c r="A7" s="2440" t="s">
        <v>1729</v>
      </c>
      <c r="B7" s="2440"/>
      <c r="C7" s="2440"/>
      <c r="D7" s="2440"/>
      <c r="E7" s="2440"/>
      <c r="F7" s="244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0" t="s">
        <v>1731</v>
      </c>
      <c r="B13" s="2440"/>
      <c r="C13" s="2440"/>
      <c r="D13" s="2440"/>
      <c r="E13" s="2440"/>
      <c r="F13" s="2440"/>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c r="C17" s="1282"/>
      <c r="D17" s="2444"/>
      <c r="E17" s="2444"/>
      <c r="F17" s="2444"/>
    </row>
    <row r="18" spans="1:6" ht="20.65" customHeight="1" x14ac:dyDescent="0.2">
      <c r="A18" s="1280"/>
      <c r="B18" s="1281"/>
      <c r="C18" s="1282"/>
      <c r="D18" s="2444"/>
      <c r="E18" s="2444"/>
      <c r="F18" s="2444"/>
    </row>
    <row r="19" spans="1:6" ht="20.65" customHeight="1" x14ac:dyDescent="0.2">
      <c r="A19" s="1280"/>
      <c r="B19" s="1281"/>
      <c r="C19" s="1282"/>
      <c r="D19" s="2444"/>
      <c r="E19" s="2444"/>
      <c r="F19" s="2444"/>
    </row>
    <row r="20" spans="1:6" ht="20.65" customHeight="1" x14ac:dyDescent="0.2">
      <c r="A20" s="1280"/>
      <c r="B20" s="1281"/>
      <c r="C20" s="1282"/>
      <c r="D20" s="2444"/>
      <c r="E20" s="2444"/>
      <c r="F20" s="2444"/>
    </row>
    <row r="21" spans="1:6" ht="20.65" customHeight="1" x14ac:dyDescent="0.2">
      <c r="A21" s="1280"/>
      <c r="B21" s="1281"/>
      <c r="C21" s="1282"/>
      <c r="D21" s="2444"/>
      <c r="E21" s="2444"/>
      <c r="F21" s="2444"/>
    </row>
    <row r="22" spans="1:6" ht="20.65" customHeight="1" x14ac:dyDescent="0.2">
      <c r="A22" s="1280"/>
      <c r="B22" s="1281"/>
      <c r="C22" s="1282"/>
      <c r="D22" s="2444"/>
      <c r="E22" s="2444"/>
      <c r="F22" s="2444"/>
    </row>
    <row r="23" spans="1:6" ht="20.65" customHeight="1" x14ac:dyDescent="0.2">
      <c r="A23" s="1280"/>
      <c r="B23" s="1281"/>
      <c r="C23" s="1282"/>
      <c r="D23" s="2444"/>
      <c r="E23" s="2444"/>
      <c r="F23" s="2444"/>
    </row>
    <row r="24" spans="1:6" ht="20.65" customHeight="1" x14ac:dyDescent="0.2">
      <c r="A24" s="1280"/>
      <c r="B24" s="1281"/>
      <c r="C24" s="1282"/>
      <c r="D24" s="2444"/>
      <c r="E24" s="2444"/>
      <c r="F24" s="2444"/>
    </row>
    <row r="25" spans="1:6" ht="20.65" customHeight="1" x14ac:dyDescent="0.2">
      <c r="A25" s="1280"/>
      <c r="B25" s="1281"/>
      <c r="C25" s="1282"/>
      <c r="D25" s="2444"/>
      <c r="E25" s="2444"/>
      <c r="F25" s="2444"/>
    </row>
    <row r="26" spans="1:6" ht="20.65" customHeight="1" x14ac:dyDescent="0.2">
      <c r="A26" s="1280"/>
      <c r="B26" s="1281"/>
      <c r="C26" s="1282"/>
      <c r="D26" s="2444"/>
      <c r="E26" s="2444"/>
      <c r="F26" s="2444"/>
    </row>
    <row r="27" spans="1:6" ht="20.65" customHeight="1" x14ac:dyDescent="0.2">
      <c r="A27" s="1280"/>
      <c r="B27" s="1281"/>
      <c r="C27" s="1282"/>
      <c r="D27" s="2444"/>
      <c r="E27" s="2444"/>
      <c r="F27" s="2444"/>
    </row>
    <row r="28" spans="1:6" ht="20.65" customHeight="1" x14ac:dyDescent="0.2">
      <c r="A28" s="1280"/>
      <c r="B28" s="1281"/>
      <c r="C28" s="1282"/>
      <c r="D28" s="2444"/>
      <c r="E28" s="2444"/>
      <c r="F28" s="2444"/>
    </row>
    <row r="29" spans="1:6" ht="20.65" customHeight="1" x14ac:dyDescent="0.2">
      <c r="A29" s="1280"/>
      <c r="B29" s="1281"/>
      <c r="C29" s="1282"/>
      <c r="D29" s="2444"/>
      <c r="E29" s="2444"/>
      <c r="F29" s="244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8" t="s">
        <v>1732</v>
      </c>
      <c r="B32" s="2448"/>
      <c r="C32" s="2448"/>
      <c r="D32" s="2448"/>
      <c r="E32" s="2448"/>
      <c r="F32" s="244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9">
        <f>+C33+C34</f>
        <v>0</v>
      </c>
      <c r="F34" s="245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1590</v>
      </c>
      <c r="C49" s="2451"/>
      <c r="D49" s="2451"/>
      <c r="E49" s="1396"/>
    </row>
    <row r="50" spans="1:5" s="1297" customFormat="1" ht="3.75" customHeight="1" x14ac:dyDescent="0.2">
      <c r="A50" s="1296"/>
      <c r="B50" s="1845"/>
      <c r="C50" s="1845"/>
      <c r="D50" s="1845"/>
      <c r="E50" s="1396"/>
    </row>
    <row r="51" spans="1:5" s="1297" customFormat="1" ht="20.25" customHeight="1" x14ac:dyDescent="0.2">
      <c r="A51" s="1298">
        <v>6</v>
      </c>
      <c r="B51" s="2447" t="s">
        <v>1551</v>
      </c>
      <c r="C51" s="2447"/>
      <c r="D51" s="2447"/>
    </row>
    <row r="52" spans="1:5" ht="14.25" customHeight="1" x14ac:dyDescent="0.2">
      <c r="A52" s="1298"/>
      <c r="B52" s="2447"/>
      <c r="C52" s="2447"/>
      <c r="D52" s="244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110" zoomScaleNormal="110" workbookViewId="0">
      <selection activeCell="O84" sqref="O8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2065</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6" t="str">
        <f>'Single Audit Cover'!A7</f>
        <v>BEHAVIOR DISORDER PROGRAM</v>
      </c>
      <c r="C1" s="2457"/>
      <c r="D1" s="2457"/>
      <c r="E1" s="2457"/>
      <c r="F1" s="2457"/>
      <c r="G1" s="2457"/>
      <c r="H1" s="2457"/>
      <c r="I1" s="2457"/>
      <c r="J1" s="1406"/>
    </row>
    <row r="2" spans="2:10" s="317" customFormat="1" ht="12.75" customHeight="1" x14ac:dyDescent="0.2">
      <c r="B2" s="2458">
        <f>'Single Audit Cover'!E7</f>
        <v>28006000000</v>
      </c>
      <c r="C2" s="2459"/>
      <c r="D2" s="2459"/>
      <c r="E2" s="2459"/>
      <c r="F2" s="2459"/>
      <c r="G2" s="2459"/>
      <c r="H2" s="2459"/>
      <c r="I2" s="2459"/>
      <c r="J2" s="1406"/>
    </row>
    <row r="3" spans="2:10" s="317" customFormat="1" ht="12.75" customHeight="1" x14ac:dyDescent="0.2">
      <c r="B3" s="2460" t="s">
        <v>1285</v>
      </c>
      <c r="C3" s="2461"/>
      <c r="D3" s="2461"/>
      <c r="E3" s="2461"/>
      <c r="F3" s="2461"/>
      <c r="G3" s="2461"/>
      <c r="H3" s="2461"/>
      <c r="I3" s="2461"/>
      <c r="J3" s="1407"/>
    </row>
    <row r="4" spans="2:10" s="317" customFormat="1" ht="12.75" customHeight="1" x14ac:dyDescent="0.2">
      <c r="B4" s="2460" t="str">
        <f>'Single Audit Cover'!A4</f>
        <v>Year Ending June 30, 2019</v>
      </c>
      <c r="C4" s="2461"/>
      <c r="D4" s="2461"/>
      <c r="E4" s="2461"/>
      <c r="F4" s="2461"/>
      <c r="G4" s="2461"/>
      <c r="H4" s="2461"/>
      <c r="I4" s="246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0" t="s">
        <v>1284</v>
      </c>
      <c r="C7" s="2461"/>
      <c r="D7" s="2461"/>
      <c r="E7" s="2461"/>
      <c r="F7" s="2461"/>
      <c r="G7" s="2461"/>
      <c r="H7" s="2461"/>
      <c r="I7" s="246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2"/>
      <c r="D11" s="246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3"/>
      <c r="E29" s="2463"/>
      <c r="F29" s="2463"/>
      <c r="G29" s="2463"/>
      <c r="H29" s="2463"/>
      <c r="I29" s="2463"/>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4" t="s">
        <v>1751</v>
      </c>
      <c r="D37" s="2465"/>
      <c r="E37" s="2465"/>
      <c r="F37" s="2466"/>
      <c r="G37" s="2464" t="s">
        <v>1592</v>
      </c>
      <c r="H37" s="2465"/>
      <c r="I37" s="2466"/>
    </row>
    <row r="38" spans="2:9" ht="16.5" customHeight="1" x14ac:dyDescent="0.2">
      <c r="B38" s="1428"/>
      <c r="C38" s="2452"/>
      <c r="D38" s="2453"/>
      <c r="E38" s="2453"/>
      <c r="F38" s="2454"/>
      <c r="G38" s="2467"/>
      <c r="H38" s="2468"/>
      <c r="I38" s="2469"/>
    </row>
    <row r="39" spans="2:9" ht="16.5" customHeight="1" x14ac:dyDescent="0.2">
      <c r="B39" s="1428"/>
      <c r="C39" s="2452"/>
      <c r="D39" s="2453"/>
      <c r="E39" s="2453"/>
      <c r="F39" s="2454"/>
      <c r="G39" s="2455"/>
      <c r="H39" s="2455"/>
      <c r="I39" s="2455"/>
    </row>
    <row r="40" spans="2:9" ht="16.5" customHeight="1" x14ac:dyDescent="0.2">
      <c r="B40" s="1428"/>
      <c r="C40" s="2452"/>
      <c r="D40" s="2453"/>
      <c r="E40" s="2453"/>
      <c r="F40" s="2454"/>
      <c r="G40" s="2455"/>
      <c r="H40" s="2455"/>
      <c r="I40" s="2455"/>
    </row>
    <row r="41" spans="2:9" ht="16.5" customHeight="1" x14ac:dyDescent="0.2">
      <c r="B41" s="1428"/>
      <c r="C41" s="2452"/>
      <c r="D41" s="2453"/>
      <c r="E41" s="2453"/>
      <c r="F41" s="2454"/>
      <c r="G41" s="2455"/>
      <c r="H41" s="2455"/>
      <c r="I41" s="2455"/>
    </row>
    <row r="42" spans="2:9" ht="16.5" customHeight="1" x14ac:dyDescent="0.2">
      <c r="B42" s="1428"/>
      <c r="C42" s="2452"/>
      <c r="D42" s="2453"/>
      <c r="E42" s="2453"/>
      <c r="F42" s="2454"/>
      <c r="G42" s="2455"/>
      <c r="H42" s="2455"/>
      <c r="I42" s="2455"/>
    </row>
    <row r="43" spans="2:9" ht="16.5" customHeight="1" x14ac:dyDescent="0.2">
      <c r="B43" s="1428"/>
      <c r="C43" s="2470" t="s">
        <v>1593</v>
      </c>
      <c r="D43" s="2471"/>
      <c r="E43" s="2471"/>
      <c r="F43" s="2472"/>
      <c r="G43" s="2473">
        <f>SUM(G38:I42)</f>
        <v>0</v>
      </c>
      <c r="H43" s="2473"/>
      <c r="I43" s="2473"/>
    </row>
    <row r="44" spans="2:9" ht="12.75" customHeight="1" x14ac:dyDescent="0.2"/>
    <row r="45" spans="2:9" ht="12.75" customHeight="1" x14ac:dyDescent="0.2">
      <c r="B45" s="1419" t="s">
        <v>2073</v>
      </c>
      <c r="D45" s="2474">
        <v>0</v>
      </c>
      <c r="E45" s="247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6"/>
      <c r="F49" s="2476"/>
      <c r="G49" s="247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6" t="str">
        <f>'Single Audit Cover'!A7</f>
        <v>BEHAVIOR DISORDER PROGRAM</v>
      </c>
      <c r="C1" s="2456"/>
      <c r="D1" s="2456"/>
      <c r="E1" s="2456"/>
      <c r="F1" s="2456"/>
      <c r="G1" s="2456"/>
      <c r="H1" s="2456"/>
      <c r="I1" s="2456"/>
      <c r="J1" s="2456"/>
      <c r="K1" s="2456"/>
      <c r="L1" s="1371"/>
      <c r="M1" s="1371"/>
    </row>
    <row r="2" spans="1:13" ht="12" customHeight="1" x14ac:dyDescent="0.2">
      <c r="B2" s="2458">
        <f>'Single Audit Cover'!E7</f>
        <v>28006000000</v>
      </c>
      <c r="C2" s="2458"/>
      <c r="D2" s="2458"/>
      <c r="E2" s="2458"/>
      <c r="F2" s="2458"/>
      <c r="G2" s="2458"/>
      <c r="H2" s="2458"/>
      <c r="I2" s="2458"/>
      <c r="J2" s="2458"/>
      <c r="K2" s="2458"/>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BEHAVIOR DISORDER PROGRAM</v>
      </c>
      <c r="C1" s="2483"/>
      <c r="D1" s="2483"/>
      <c r="E1" s="2483"/>
      <c r="F1" s="2483"/>
      <c r="G1" s="2483"/>
      <c r="H1" s="2483"/>
      <c r="I1" s="2483"/>
      <c r="J1" s="2483"/>
      <c r="K1" s="2483"/>
      <c r="L1" s="1449"/>
    </row>
    <row r="2" spans="1:12" ht="12.75" customHeight="1" x14ac:dyDescent="0.2">
      <c r="B2" s="2484">
        <f>'Single Audit Cover'!E7</f>
        <v>28006000000</v>
      </c>
      <c r="C2" s="2484"/>
      <c r="D2" s="2484"/>
      <c r="E2" s="2484"/>
      <c r="F2" s="2484"/>
      <c r="G2" s="2484"/>
      <c r="H2" s="2484"/>
      <c r="I2" s="2484"/>
      <c r="J2" s="2484"/>
      <c r="K2" s="2484"/>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3"/>
      <c r="G12" s="2463"/>
      <c r="H12" s="2463"/>
      <c r="I12" s="2463"/>
      <c r="J12" s="2463"/>
      <c r="K12" s="246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6"/>
      <c r="E14" s="2486"/>
      <c r="F14" s="2486"/>
      <c r="H14" s="1459" t="s">
        <v>1303</v>
      </c>
      <c r="I14" s="2487"/>
      <c r="J14" s="2487"/>
      <c r="K14" s="248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7"/>
      <c r="E16" s="2487"/>
      <c r="F16" s="2487"/>
      <c r="G16" s="2487"/>
      <c r="H16" s="2487"/>
      <c r="I16" s="2487"/>
      <c r="J16" s="2487"/>
      <c r="K16" s="2487"/>
      <c r="L16" s="322"/>
    </row>
    <row r="17" spans="2:12" ht="13.5" customHeight="1" x14ac:dyDescent="0.2">
      <c r="B17" s="1384" t="s">
        <v>1301</v>
      </c>
      <c r="C17" s="1384"/>
      <c r="D17" s="2488"/>
      <c r="E17" s="2488"/>
      <c r="F17" s="2488"/>
      <c r="G17" s="2488"/>
      <c r="H17" s="2488"/>
      <c r="I17" s="2488"/>
      <c r="J17" s="2488"/>
      <c r="K17" s="248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6" t="str">
        <f>'Single Audit Cover'!A7</f>
        <v>BEHAVIOR DISORDER PROGRAM</v>
      </c>
      <c r="C1" s="2456"/>
      <c r="D1" s="2456"/>
      <c r="E1" s="1469"/>
    </row>
    <row r="2" spans="2:5" s="1279" customFormat="1" ht="12.75" customHeight="1" x14ac:dyDescent="0.2">
      <c r="B2" s="2458">
        <f>'Single Audit Cover'!E7</f>
        <v>28006000000</v>
      </c>
      <c r="C2" s="2458"/>
      <c r="D2" s="2458"/>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E34" sqref="E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615323</v>
      </c>
      <c r="E16" s="356"/>
      <c r="F16" s="1733">
        <f>SUM('Acct Summary 7-8'!C17,'Acct Summary 7-8'!D17,'Acct Summary 7-8'!F17)</f>
        <v>665321</v>
      </c>
      <c r="G16" s="356"/>
      <c r="H16" s="1733">
        <f>SUM(D16-F16)</f>
        <v>-49998</v>
      </c>
      <c r="I16" s="222"/>
      <c r="J16" s="1733">
        <f>SUM('Acct Summary 7-8'!C81,'Acct Summary 7-8'!D81,'Acct Summary 7-8'!F81,'Acct Summary 7-8'!I81)</f>
        <v>150809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BEHAVIOR DISORDER PROGRAM</v>
      </c>
      <c r="E7" s="391"/>
      <c r="G7" s="252"/>
      <c r="H7" s="387"/>
      <c r="I7" s="387"/>
      <c r="J7" s="387"/>
      <c r="K7" s="387"/>
      <c r="L7" s="329"/>
      <c r="M7" s="329"/>
      <c r="N7" s="329"/>
      <c r="O7" s="329"/>
      <c r="P7" s="329"/>
    </row>
    <row r="8" spans="1:18" ht="12.75" x14ac:dyDescent="0.2">
      <c r="A8" s="329"/>
      <c r="B8" s="329"/>
      <c r="C8" s="389" t="s">
        <v>1125</v>
      </c>
      <c r="D8" s="392">
        <f>COVER!A13</f>
        <v>28006000000</v>
      </c>
      <c r="E8" s="393"/>
      <c r="G8" s="329"/>
      <c r="H8" s="329"/>
      <c r="I8" s="329"/>
      <c r="J8" s="329"/>
      <c r="K8" s="329"/>
      <c r="L8" s="329"/>
      <c r="M8" s="329"/>
      <c r="N8" s="329"/>
      <c r="O8" s="329"/>
      <c r="P8" s="329"/>
    </row>
    <row r="9" spans="1:18" ht="12.75" x14ac:dyDescent="0.2">
      <c r="A9" s="329"/>
      <c r="B9" s="329"/>
      <c r="C9" s="389" t="s">
        <v>713</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150809</v>
      </c>
      <c r="I12" s="404"/>
      <c r="J12" s="404"/>
      <c r="K12" s="405">
        <f>TRUNC((H12/H13*100000),5)/100000</f>
        <v>0.24508916450000001</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615323</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665321</v>
      </c>
      <c r="I17" s="404"/>
      <c r="J17" s="416"/>
      <c r="K17" s="405">
        <f>TRUNC((H17/H18*100000),5)/100000</f>
        <v>1.0812548855999999</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615323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1.7856054000000001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150809</v>
      </c>
      <c r="I24" s="422"/>
      <c r="J24" s="422"/>
      <c r="K24" s="423">
        <f>TRUNC(((H24/H25*100000)/100000),2)</f>
        <v>81.599999999999994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1848.1138900000001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9" sqref="C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f>65854+82953+2002</f>
        <v>150809</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150809</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56473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56473</v>
      </c>
      <c r="N23" s="1688">
        <f>SUM(N21:N22)</f>
        <v>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150809</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56473</v>
      </c>
      <c r="N40" s="497"/>
    </row>
    <row r="41" spans="1:14" ht="13.5" customHeight="1" thickBot="1" x14ac:dyDescent="0.25">
      <c r="A41" s="1736" t="s">
        <v>655</v>
      </c>
      <c r="B41" s="1706"/>
      <c r="C41" s="1688">
        <f>(SUM(C34,C37,C38,C39))</f>
        <v>150809</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56473</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528367</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58135</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28821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615323</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c r="D9" s="516"/>
      <c r="E9" s="481"/>
      <c r="F9" s="481"/>
      <c r="G9" s="517"/>
      <c r="H9" s="481"/>
      <c r="I9" s="509" t="s">
        <v>1169</v>
      </c>
      <c r="J9" s="478"/>
      <c r="K9" s="481"/>
      <c r="L9" s="347"/>
    </row>
    <row r="10" spans="1:13" s="519" customFormat="1" ht="13.5" thickBot="1" x14ac:dyDescent="0.25">
      <c r="A10" s="1736" t="s">
        <v>1173</v>
      </c>
      <c r="B10" s="1709"/>
      <c r="C10" s="1688">
        <f>SUM(C8:C9)</f>
        <v>615323</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416677</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232885</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15759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665321</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665321</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9" t="s">
        <v>1655</v>
      </c>
      <c r="B20" s="2130"/>
      <c r="C20" s="1746">
        <f>C8-C17</f>
        <v>-49998</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1" t="s">
        <v>1177</v>
      </c>
      <c r="B77" s="2122"/>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5" t="s">
        <v>597</v>
      </c>
      <c r="B78" s="2126"/>
      <c r="C78" s="1702">
        <f t="shared" ref="C78:K78" si="9">C20+C77</f>
        <v>-49998</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1948</v>
      </c>
      <c r="B79" s="534"/>
      <c r="C79" s="478">
        <v>200807</v>
      </c>
      <c r="D79" s="535"/>
      <c r="E79" s="535"/>
      <c r="F79" s="535"/>
      <c r="G79" s="535"/>
      <c r="H79" s="535"/>
      <c r="I79" s="535"/>
      <c r="J79" s="535"/>
      <c r="K79" s="535"/>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1949</v>
      </c>
      <c r="B81" s="2124"/>
      <c r="C81" s="1688">
        <f>(SUM(C78:C80))</f>
        <v>150809</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-49998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-0.33153193774907336</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9" activePane="bottomLeft" state="frozen"/>
      <selection pane="bottomLeft" activeCell="C265" sqref="C2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512056</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512056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292</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292</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f>5657+9883</f>
        <v>15540</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479</v>
      </c>
      <c r="D107" s="466"/>
      <c r="E107" s="466"/>
      <c r="F107" s="466"/>
      <c r="G107" s="466"/>
      <c r="H107" s="466"/>
      <c r="I107" s="466"/>
      <c r="J107" s="467"/>
      <c r="K107" s="466"/>
    </row>
    <row r="108" spans="1:12" ht="12.75" customHeight="1" thickBot="1" x14ac:dyDescent="0.25">
      <c r="A108" s="1708" t="s">
        <v>487</v>
      </c>
      <c r="B108" s="1712"/>
      <c r="C108" s="1707">
        <f>SUM(C95:C107)</f>
        <v>16019</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528367</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v>58135</v>
      </c>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58135</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58135</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58135</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3221</v>
      </c>
      <c r="D263" s="576"/>
      <c r="E263" s="468"/>
      <c r="F263" s="576"/>
      <c r="G263" s="576"/>
      <c r="H263" s="468"/>
      <c r="I263" s="468"/>
      <c r="J263" s="468"/>
      <c r="K263" s="468"/>
    </row>
    <row r="264" spans="1:11" ht="12.75" customHeight="1" thickTop="1" thickBot="1" x14ac:dyDescent="0.25">
      <c r="A264" s="463" t="s">
        <v>377</v>
      </c>
      <c r="B264" s="470">
        <v>4992</v>
      </c>
      <c r="C264" s="575">
        <v>25600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28821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28821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615323</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7" activePane="bottomLeft" state="frozen"/>
      <selection pane="bottomLeft" activeCell="L84" sqref="L8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f>205808+74025+13560+15973</f>
        <v>309366</v>
      </c>
      <c r="D8" s="466">
        <f>18688+3598+6683+3541+602+45957+4304</f>
        <v>83373</v>
      </c>
      <c r="E8" s="466">
        <f>6359+666</f>
        <v>7025</v>
      </c>
      <c r="F8" s="466">
        <v>12267</v>
      </c>
      <c r="G8" s="466"/>
      <c r="H8" s="466">
        <v>246</v>
      </c>
      <c r="I8" s="467"/>
      <c r="J8" s="467"/>
      <c r="K8" s="1671">
        <f t="shared" si="0"/>
        <v>412277</v>
      </c>
      <c r="L8" s="466">
        <f>223932+81750+11783+1200+22147+1299+10569+5799+3247+912+47000+4613+600+10000+1300+12000+3000+1500</f>
        <v>442651</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v>4400</v>
      </c>
      <c r="F17" s="467"/>
      <c r="G17" s="467"/>
      <c r="H17" s="467"/>
      <c r="I17" s="467"/>
      <c r="J17" s="467"/>
      <c r="K17" s="1671">
        <f t="shared" si="0"/>
        <v>4400</v>
      </c>
      <c r="L17" s="466">
        <v>4400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309366</v>
      </c>
      <c r="D33" s="1670">
        <f t="shared" ref="D33:L33" si="1">SUM(D5:D32)</f>
        <v>83373</v>
      </c>
      <c r="E33" s="1670">
        <f t="shared" si="1"/>
        <v>11425</v>
      </c>
      <c r="F33" s="1670">
        <f t="shared" si="1"/>
        <v>12267</v>
      </c>
      <c r="G33" s="1670">
        <f t="shared" si="1"/>
        <v>0</v>
      </c>
      <c r="H33" s="1670">
        <f t="shared" si="1"/>
        <v>246</v>
      </c>
      <c r="I33" s="1670">
        <f t="shared" si="1"/>
        <v>0</v>
      </c>
      <c r="J33" s="1670">
        <f t="shared" si="1"/>
        <v>0</v>
      </c>
      <c r="K33" s="1670">
        <f t="shared" si="1"/>
        <v>416677</v>
      </c>
      <c r="L33" s="1670">
        <f t="shared" si="1"/>
        <v>447051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c r="D45" s="466"/>
      <c r="E45" s="466"/>
      <c r="F45" s="466"/>
      <c r="G45" s="466"/>
      <c r="H45" s="466"/>
      <c r="I45" s="467"/>
      <c r="J45" s="467"/>
      <c r="K45" s="1672">
        <f>SUM(C45:J45)</f>
        <v>0</v>
      </c>
      <c r="L45" s="466">
        <v>34882</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34882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2700</v>
      </c>
      <c r="F49" s="481"/>
      <c r="G49" s="481"/>
      <c r="H49" s="481"/>
      <c r="I49" s="467"/>
      <c r="J49" s="467"/>
      <c r="K49" s="1672">
        <f>SUM(C49:J49)</f>
        <v>2700</v>
      </c>
      <c r="L49" s="481">
        <v>2700</v>
      </c>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f>4791+5707</f>
        <v>10498</v>
      </c>
      <c r="F52" s="474"/>
      <c r="G52" s="474"/>
      <c r="H52" s="474"/>
      <c r="I52" s="474"/>
      <c r="J52" s="474"/>
      <c r="K52" s="1672">
        <f>SUM(C52:J52)</f>
        <v>10498</v>
      </c>
      <c r="L52" s="474">
        <f>1700+9200</f>
        <v>10900</v>
      </c>
    </row>
    <row r="53" spans="1:14" ht="12.75" customHeight="1" thickBot="1" x14ac:dyDescent="0.25">
      <c r="A53" s="1668" t="s">
        <v>717</v>
      </c>
      <c r="B53" s="1669" t="s">
        <v>33</v>
      </c>
      <c r="C53" s="1670">
        <f>SUM(C49:C52)</f>
        <v>0</v>
      </c>
      <c r="D53" s="1670">
        <f t="shared" ref="D53:L53" si="5">SUM(D49:D52)</f>
        <v>0</v>
      </c>
      <c r="E53" s="1670">
        <f t="shared" si="5"/>
        <v>13198</v>
      </c>
      <c r="F53" s="1670">
        <f t="shared" si="5"/>
        <v>0</v>
      </c>
      <c r="G53" s="1670">
        <f t="shared" si="5"/>
        <v>0</v>
      </c>
      <c r="H53" s="1670">
        <f t="shared" si="5"/>
        <v>0</v>
      </c>
      <c r="I53" s="1670">
        <f t="shared" si="5"/>
        <v>0</v>
      </c>
      <c r="J53" s="1670">
        <f t="shared" si="5"/>
        <v>0</v>
      </c>
      <c r="K53" s="1670">
        <f t="shared" si="5"/>
        <v>13198</v>
      </c>
      <c r="L53" s="1670">
        <f t="shared" si="5"/>
        <v>13600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103558+10865</f>
        <v>114423</v>
      </c>
      <c r="D55" s="481">
        <f>10902+456+831+1485+165+15102+2453</f>
        <v>31394</v>
      </c>
      <c r="E55" s="481">
        <v>1260</v>
      </c>
      <c r="F55" s="481">
        <v>85</v>
      </c>
      <c r="G55" s="481"/>
      <c r="H55" s="481"/>
      <c r="I55" s="467"/>
      <c r="J55" s="467"/>
      <c r="K55" s="1672">
        <f>SUM(C55:J55)</f>
        <v>147162</v>
      </c>
      <c r="L55" s="481">
        <f>103810+10918+10267+602+1234+677+1505+165+15000+3100+625+1600+200+500</f>
        <v>150203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114423</v>
      </c>
      <c r="D57" s="1674">
        <f t="shared" ref="D57:K57" si="6">SUM(D55:D56)</f>
        <v>31394</v>
      </c>
      <c r="E57" s="1674">
        <f t="shared" si="6"/>
        <v>1260</v>
      </c>
      <c r="F57" s="1674">
        <f t="shared" si="6"/>
        <v>85</v>
      </c>
      <c r="G57" s="1674">
        <f t="shared" si="6"/>
        <v>0</v>
      </c>
      <c r="H57" s="1674">
        <f t="shared" si="6"/>
        <v>0</v>
      </c>
      <c r="I57" s="1674">
        <f t="shared" si="6"/>
        <v>0</v>
      </c>
      <c r="J57" s="1674">
        <f t="shared" si="6"/>
        <v>0</v>
      </c>
      <c r="K57" s="1674">
        <f t="shared" si="6"/>
        <v>147162</v>
      </c>
      <c r="L57" s="1670">
        <f>SUM(L55:L56)</f>
        <v>150203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v>23213</v>
      </c>
      <c r="D61" s="466">
        <f>955+1753+164+6710</f>
        <v>9582</v>
      </c>
      <c r="E61" s="466">
        <f>3148+36090</f>
        <v>39238</v>
      </c>
      <c r="F61" s="466">
        <v>492</v>
      </c>
      <c r="G61" s="466"/>
      <c r="H61" s="466"/>
      <c r="I61" s="467"/>
      <c r="J61" s="467"/>
      <c r="K61" s="1672">
        <f t="shared" si="7"/>
        <v>72525</v>
      </c>
      <c r="L61" s="466">
        <f>12594+1424+781+15+3300</f>
        <v>18114</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23213</v>
      </c>
      <c r="D65" s="1670">
        <f t="shared" ref="D65:L65" si="8">SUM(D59:D64)</f>
        <v>9582</v>
      </c>
      <c r="E65" s="1670">
        <f t="shared" si="8"/>
        <v>39238</v>
      </c>
      <c r="F65" s="1670">
        <f t="shared" si="8"/>
        <v>492</v>
      </c>
      <c r="G65" s="1670">
        <f t="shared" si="8"/>
        <v>0</v>
      </c>
      <c r="H65" s="1670">
        <f t="shared" si="8"/>
        <v>0</v>
      </c>
      <c r="I65" s="1670">
        <f t="shared" si="8"/>
        <v>0</v>
      </c>
      <c r="J65" s="1670">
        <f t="shared" si="8"/>
        <v>0</v>
      </c>
      <c r="K65" s="1670">
        <f t="shared" si="8"/>
        <v>72525</v>
      </c>
      <c r="L65" s="1670">
        <f t="shared" si="8"/>
        <v>18114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137636</v>
      </c>
      <c r="D74" s="1677">
        <f t="shared" ref="D74:K74" si="10">SUM(D42,D47,D53,D57,D65,D72,D73)</f>
        <v>40976</v>
      </c>
      <c r="E74" s="1677">
        <f t="shared" si="10"/>
        <v>53696</v>
      </c>
      <c r="F74" s="1677">
        <f t="shared" si="10"/>
        <v>577</v>
      </c>
      <c r="G74" s="1677">
        <f t="shared" si="10"/>
        <v>0</v>
      </c>
      <c r="H74" s="1677">
        <f t="shared" si="10"/>
        <v>0</v>
      </c>
      <c r="I74" s="1677">
        <f t="shared" si="10"/>
        <v>0</v>
      </c>
      <c r="J74" s="1677">
        <f t="shared" si="10"/>
        <v>0</v>
      </c>
      <c r="K74" s="1677">
        <f t="shared" si="10"/>
        <v>232885</v>
      </c>
      <c r="L74" s="1677">
        <f>SUM(L42,L47,L53,L57,L65,L72,L73)</f>
        <v>216799</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15759</v>
      </c>
      <c r="F83" s="616"/>
      <c r="G83" s="616"/>
      <c r="H83" s="466"/>
      <c r="I83" s="477"/>
      <c r="J83" s="477"/>
      <c r="K83" s="1671">
        <f t="shared" si="11"/>
        <v>15759</v>
      </c>
      <c r="L83" s="466">
        <v>15000</v>
      </c>
    </row>
    <row r="84" spans="1:12" ht="13.5" thickBot="1" x14ac:dyDescent="0.25">
      <c r="A84" s="1668" t="s">
        <v>1485</v>
      </c>
      <c r="B84" s="1678">
        <v>4100</v>
      </c>
      <c r="C84" s="616"/>
      <c r="D84" s="616"/>
      <c r="E84" s="1670">
        <f>SUM(E78:E83)</f>
        <v>15759</v>
      </c>
      <c r="F84" s="616"/>
      <c r="G84" s="616"/>
      <c r="H84" s="1670">
        <f>SUM(H78:H83)</f>
        <v>0</v>
      </c>
      <c r="I84" s="477"/>
      <c r="J84" s="477"/>
      <c r="K84" s="1670">
        <f>SUM(K78:K83)</f>
        <v>15759</v>
      </c>
      <c r="L84" s="1670">
        <f>SUM(L78:L83)</f>
        <v>15000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15759</v>
      </c>
      <c r="F102" s="616"/>
      <c r="G102" s="616"/>
      <c r="H102" s="1677">
        <f>SUM(H84,H92,H100,H101)</f>
        <v>0</v>
      </c>
      <c r="I102" s="477"/>
      <c r="J102" s="477"/>
      <c r="K102" s="1677">
        <f>SUM(K84,K92,K100,K101)</f>
        <v>15759</v>
      </c>
      <c r="L102" s="1677">
        <f>SUM(L84,L92,L100,L101)</f>
        <v>15000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447002</v>
      </c>
      <c r="D114" s="1670">
        <f t="shared" ref="D114:K114" si="13">SUM(D33,D74,D75,D102,D112,D113)</f>
        <v>124349</v>
      </c>
      <c r="E114" s="1670">
        <f t="shared" si="13"/>
        <v>80880</v>
      </c>
      <c r="F114" s="1670">
        <f t="shared" si="13"/>
        <v>12844</v>
      </c>
      <c r="G114" s="1670">
        <f t="shared" si="13"/>
        <v>0</v>
      </c>
      <c r="H114" s="1670">
        <f>SUM(H33,H74,H75,H102,H112,H113)</f>
        <v>246</v>
      </c>
      <c r="I114" s="1670">
        <f t="shared" si="13"/>
        <v>0</v>
      </c>
      <c r="J114" s="1670">
        <f t="shared" si="13"/>
        <v>0</v>
      </c>
      <c r="K114" s="1670">
        <f t="shared" si="13"/>
        <v>665321</v>
      </c>
      <c r="L114" s="1670">
        <f>SUM(L33,L74,L75,L102,L112,L113)</f>
        <v>678850</v>
      </c>
    </row>
    <row r="115" spans="1:14" ht="13.5" thickTop="1" x14ac:dyDescent="0.2">
      <c r="A115" s="2159" t="s">
        <v>996</v>
      </c>
      <c r="B115" s="2160"/>
      <c r="C115" s="618"/>
      <c r="D115" s="618"/>
      <c r="E115" s="618"/>
      <c r="F115" s="618"/>
      <c r="G115" s="618"/>
      <c r="H115" s="618"/>
      <c r="I115" s="618"/>
      <c r="J115" s="618"/>
      <c r="K115" s="1684">
        <f>'Revenues 9-14'!C268-'Expenditures 15-22'!K114</f>
        <v>-49998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6" t="s">
        <v>620</v>
      </c>
      <c r="B151" s="2156"/>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9" t="s">
        <v>1178</v>
      </c>
      <c r="B152" s="2180"/>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9" t="s">
        <v>996</v>
      </c>
      <c r="B175" s="2160"/>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9" t="s">
        <v>996</v>
      </c>
      <c r="B211" s="2160"/>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9" t="s">
        <v>996</v>
      </c>
      <c r="B296" s="2160"/>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2" t="s">
        <v>996</v>
      </c>
      <c r="B343" s="2173"/>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9" t="s">
        <v>996</v>
      </c>
      <c r="B368" s="2160"/>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schemas.microsoft.com/sharepoint/v3"/>
    <ds:schemaRef ds:uri="http://purl.org/dc/elements/1.1/"/>
    <ds:schemaRef ds:uri="http://purl.org/dc/dcmitype/"/>
    <ds:schemaRef ds:uri="6ce3111e-7420-4802-b50a-75d4e9a0b980"/>
    <ds:schemaRef ds:uri="http://schemas.microsoft.com/office/infopath/2007/PartnerControls"/>
    <ds:schemaRef ds:uri="d21dc803-237d-4c68-8692-8d731fd29118"/>
    <ds:schemaRef ds:uri="http://purl.org/dc/terms/"/>
    <ds:schemaRef ds:uri="http://schemas.openxmlformats.org/package/2006/metadata/core-properties"/>
    <ds:schemaRef ds:uri="4d435f69-8686-490b-bd6d-b153bf22ab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2019-09-16T20:53:04Z</cp:lastPrinted>
  <dcterms:created xsi:type="dcterms:W3CDTF">2003-10-29T19:06:34Z</dcterms:created>
  <dcterms:modified xsi:type="dcterms:W3CDTF">2019-10-23T20:59:03Z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