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41B312E-A142-4A44-9452-E5425DF467E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93" r:id="rId29"/>
    <sheet name="SEFA NOTES" sheetId="188" r:id="rId30"/>
    <sheet name="SF&amp;QC Sec-1" sheetId="174" r:id="rId31"/>
    <sheet name="Finding 2019-001" sheetId="183" r:id="rId32"/>
    <sheet name="Finding 2019-002" sheetId="192" r:id="rId33"/>
    <sheet name="Finding 2019-003" sheetId="185" r:id="rId34"/>
    <sheet name="Finding 2019-004" sheetId="189" r:id="rId35"/>
    <sheet name="SF&amp;QC Sec-2" sheetId="175" r:id="rId36"/>
    <sheet name="SF&amp;QC Sec-3" sheetId="176" r:id="rId37"/>
    <sheet name="SSPAF" sheetId="177" r:id="rId38"/>
    <sheet name="CAP 2019-001" sheetId="184" r:id="rId39"/>
    <sheet name="CAP 2019-002" sheetId="191" r:id="rId40"/>
    <sheet name="CAP 2019-003" sheetId="186" r:id="rId41"/>
    <sheet name="CAP 2019-004" sheetId="190" r:id="rId42"/>
  </sheets>
  <definedNames>
    <definedName name="Finding" localSheetId="39">#REF!</definedName>
    <definedName name="Finding" localSheetId="32">#REF!</definedName>
    <definedName name="Finding" localSheetId="34">#REF!</definedName>
    <definedName name="Finding">#REF!</definedName>
    <definedName name="goof" localSheetId="39">#REF!</definedName>
    <definedName name="goof" localSheetId="40">#REF!</definedName>
    <definedName name="goof" localSheetId="32">#REF!</definedName>
    <definedName name="goof" localSheetId="33">#REF!</definedName>
    <definedName name="goof" localSheetId="34">#REF!</definedName>
    <definedName name="goof" localSheetId="29">#REF!</definedName>
    <definedName name="goof" localSheetId="28">#REF!</definedName>
    <definedName name="goof">#REF!</definedName>
    <definedName name="New" localSheetId="39">#REF!</definedName>
    <definedName name="New" localSheetId="32">#REF!</definedName>
    <definedName name="New" localSheetId="34">#REF!</definedName>
    <definedName name="New">#REF!</definedName>
    <definedName name="newname" localSheetId="39">#REF!</definedName>
    <definedName name="newname" localSheetId="40">#REF!</definedName>
    <definedName name="newname" localSheetId="32">#REF!</definedName>
    <definedName name="newname" localSheetId="33">#REF!</definedName>
    <definedName name="newname" localSheetId="34">#REF!</definedName>
    <definedName name="newname">#REF!</definedName>
    <definedName name="oops" localSheetId="39">#REF!</definedName>
    <definedName name="oops" localSheetId="40">#REF!</definedName>
    <definedName name="oops" localSheetId="32">#REF!</definedName>
    <definedName name="oops" localSheetId="33">#REF!</definedName>
    <definedName name="oops" localSheetId="34">#REF!</definedName>
    <definedName name="oops" localSheetId="29">#REF!</definedName>
    <definedName name="oops" localSheetId="28">#REF!</definedName>
    <definedName name="oops">#REF!</definedName>
    <definedName name="pass" localSheetId="39">#REF!</definedName>
    <definedName name="pass" localSheetId="40">#REF!</definedName>
    <definedName name="pass" localSheetId="41">#REF!</definedName>
    <definedName name="pass" localSheetId="32">#REF!</definedName>
    <definedName name="pass" localSheetId="33">#REF!</definedName>
    <definedName name="pass" localSheetId="34">#REF!</definedName>
    <definedName name="pass">#REF!</definedName>
    <definedName name="pass1" localSheetId="39">#REF!</definedName>
    <definedName name="pass1" localSheetId="40">#REF!</definedName>
    <definedName name="pass1" localSheetId="41">#REF!</definedName>
    <definedName name="pass1" localSheetId="32">#REF!</definedName>
    <definedName name="pass1" localSheetId="33">#REF!</definedName>
    <definedName name="pass1" localSheetId="34">#REF!</definedName>
    <definedName name="pass1">#REF!</definedName>
    <definedName name="pass2" localSheetId="39">#REF!</definedName>
    <definedName name="pass2" localSheetId="40">#REF!</definedName>
    <definedName name="pass2" localSheetId="41">#REF!</definedName>
    <definedName name="pass2" localSheetId="32">#REF!</definedName>
    <definedName name="pass2" localSheetId="33">#REF!</definedName>
    <definedName name="pass2" localSheetId="34">#REF!</definedName>
    <definedName name="pass2">#REF!</definedName>
    <definedName name="pass3" localSheetId="39">#REF!</definedName>
    <definedName name="pass3" localSheetId="40">#REF!</definedName>
    <definedName name="pass3" localSheetId="41">#REF!</definedName>
    <definedName name="pass3" localSheetId="32">#REF!</definedName>
    <definedName name="pass3" localSheetId="33">#REF!</definedName>
    <definedName name="pass3" localSheetId="34">#REF!</definedName>
    <definedName name="pass3">#REF!</definedName>
    <definedName name="pass4" localSheetId="39">#REF!</definedName>
    <definedName name="pass4" localSheetId="40">#REF!</definedName>
    <definedName name="pass4" localSheetId="41">#REF!</definedName>
    <definedName name="pass4" localSheetId="32">#REF!</definedName>
    <definedName name="pass4" localSheetId="33">#REF!</definedName>
    <definedName name="pass4" localSheetId="34">#REF!</definedName>
    <definedName name="pass4">#REF!</definedName>
    <definedName name="_xlnm.Print_Area" localSheetId="27">' SEFA'!$B$1:$M$46</definedName>
    <definedName name="_xlnm.Print_Area" localSheetId="33">'Finding 2019-003'!$A$1:$K$52</definedName>
    <definedName name="_xlnm.Print_Area" localSheetId="34">'Finding 2019-004'!$A$1:$K$52</definedName>
    <definedName name="_xlnm.Print_Area" localSheetId="29">'SEFA NOTES'!$A$1:$F$61</definedName>
    <definedName name="_xlnm.Print_Area" localSheetId="26">'SEFA Reconcile'!$A$1:$E$49</definedName>
    <definedName name="_xlnm.Print_Area" localSheetId="28">SEFA19!$A$11:$S$84</definedName>
    <definedName name="_xlnm.Print_Area" localSheetId="30">'SF&amp;QC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Print_Area_MI" localSheetId="28">SEFA19!$B$14:$S$75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SEFA19!$A:$C,SEFA19!$1:$10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8">#REF!</definedName>
    <definedName name="SCHADDRS" localSheetId="39">#REF!</definedName>
    <definedName name="SCHADDRS" localSheetId="40">#REF!</definedName>
    <definedName name="SCHADDRS" localSheetId="41">#REF!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29">#REF!</definedName>
    <definedName name="SCHADDRS" localSheetId="26">#REF!</definedName>
    <definedName name="SCHADDRS" localSheetId="28">#REF!</definedName>
    <definedName name="SCHADDRS" localSheetId="30">#REF!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38">#REF!</definedName>
    <definedName name="SCHCTY" localSheetId="39">#REF!</definedName>
    <definedName name="SCHCTY" localSheetId="40">#REF!</definedName>
    <definedName name="SCHCTY" localSheetId="41">#REF!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29">#REF!</definedName>
    <definedName name="SCHCTY" localSheetId="26">#REF!</definedName>
    <definedName name="SCHCTY" localSheetId="28">#REF!</definedName>
    <definedName name="SCHCTY" localSheetId="30">#REF!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38">#REF!</definedName>
    <definedName name="SCHNMBR" localSheetId="39">#REF!</definedName>
    <definedName name="SCHNMBR" localSheetId="40">#REF!</definedName>
    <definedName name="SCHNMBR" localSheetId="41">#REF!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29">#REF!</definedName>
    <definedName name="SCHNMBR" localSheetId="26">#REF!</definedName>
    <definedName name="SCHNMBR" localSheetId="28">#REF!</definedName>
    <definedName name="SCHNMBR" localSheetId="30">#REF!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38">#REF!</definedName>
    <definedName name="SCHNME" localSheetId="39">#REF!</definedName>
    <definedName name="SCHNME" localSheetId="40">#REF!</definedName>
    <definedName name="SCHNME" localSheetId="41">#REF!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29">#REF!</definedName>
    <definedName name="SCHNME" localSheetId="26">#REF!</definedName>
    <definedName name="SCHNME" localSheetId="28">#REF!</definedName>
    <definedName name="SCHNME" localSheetId="30">#REF!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EFA09" localSheetId="39">#REF!</definedName>
    <definedName name="SEFA09" localSheetId="32">#REF!</definedName>
    <definedName name="SEFA09" localSheetId="34">#REF!</definedName>
    <definedName name="SEFA09" localSheetId="29">#REF!</definedName>
    <definedName name="SEFA09" localSheetId="28">#REF!</definedName>
    <definedName name="SEFA09">#REF!</definedName>
    <definedName name="SUPT" localSheetId="27">#REF!</definedName>
    <definedName name="SUPT" localSheetId="17">#REF!</definedName>
    <definedName name="SUPT" localSheetId="38">#REF!</definedName>
    <definedName name="SUPT" localSheetId="39">#REF!</definedName>
    <definedName name="SUPT" localSheetId="40">#REF!</definedName>
    <definedName name="SUPT" localSheetId="41">#REF!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29">#REF!</definedName>
    <definedName name="SUPT" localSheetId="26">#REF!</definedName>
    <definedName name="SUPT" localSheetId="28">#REF!</definedName>
    <definedName name="SUPT" localSheetId="30">#REF!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 name="Z_02E32E96_543A_42ED_AC52_11C429C0092F_.wvu.PrintArea" localSheetId="33" hidden="1">'Finding 2019-003'!$A$1:$K$52</definedName>
    <definedName name="Z_02E32E96_543A_42ED_AC52_11C429C0092F_.wvu.PrintArea" localSheetId="34" hidden="1">'Finding 2019-004'!$A$1:$K$52</definedName>
    <definedName name="Z_1BA5A640_1F24_4177_AEF7_A40D8856DB04_.wvu.PrintArea" localSheetId="33" hidden="1">'Finding 2019-003'!$A$1:$K$52</definedName>
    <definedName name="Z_1BA5A640_1F24_4177_AEF7_A40D8856DB04_.wvu.PrintArea" localSheetId="34" hidden="1">'Finding 2019-004'!$A$1:$K$52</definedName>
    <definedName name="Z_1BB2CF4D_CBF3_42E5_A6DA_62B4C463A7F3_.wvu.PrintArea" localSheetId="33" hidden="1">'Finding 2019-003'!$A$1:$K$52</definedName>
    <definedName name="Z_1BB2CF4D_CBF3_42E5_A6DA_62B4C463A7F3_.wvu.PrintArea" localSheetId="34" hidden="1">'Finding 2019-004'!$A$1:$K$52</definedName>
    <definedName name="Z_953B1CE1_DD74_4B53_96BF_453C2A3ADDD3_.wvu.PrintArea" localSheetId="33" hidden="1">'Finding 2019-003'!$A$1:$K$52</definedName>
    <definedName name="Z_953B1CE1_DD74_4B53_96BF_453C2A3ADDD3_.wvu.PrintArea" localSheetId="34" hidden="1">'Finding 2019-004'!$A$1:$K$52</definedName>
    <definedName name="Z_D09387C1_23B3_4CB0_BEE9_CBCFAC4BE713_.wvu.PrintArea" localSheetId="33" hidden="1">'Finding 2019-003'!$A$1:$K$52</definedName>
    <definedName name="Z_D09387C1_23B3_4CB0_BEE9_CBCFAC4BE713_.wvu.PrintArea" localSheetId="34" hidden="1">'Finding 2019-004'!$A$1:$K$52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53" i="193" l="1"/>
  <c r="R55" i="193"/>
  <c r="G57" i="193"/>
  <c r="I57" i="193"/>
  <c r="K57" i="193"/>
  <c r="L57" i="193"/>
  <c r="M57" i="193"/>
  <c r="N57" i="193"/>
  <c r="N59" i="193" s="1"/>
  <c r="P57" i="193"/>
  <c r="R57" i="193"/>
  <c r="L59" i="193"/>
  <c r="G43" i="174" l="1"/>
  <c r="M73" i="193"/>
  <c r="I73" i="193"/>
  <c r="P71" i="193"/>
  <c r="K71" i="193"/>
  <c r="K73" i="193" s="1"/>
  <c r="G71" i="193"/>
  <c r="G73" i="193" s="1"/>
  <c r="P70" i="193"/>
  <c r="R70" i="193" s="1"/>
  <c r="R65" i="193"/>
  <c r="R64" i="193"/>
  <c r="P48" i="193"/>
  <c r="K48" i="193"/>
  <c r="R44" i="193"/>
  <c r="M42" i="193"/>
  <c r="M48" i="193" s="1"/>
  <c r="I42" i="193"/>
  <c r="R37" i="193"/>
  <c r="R35" i="193"/>
  <c r="G35" i="193"/>
  <c r="G48" i="193" s="1"/>
  <c r="P33" i="193"/>
  <c r="P59" i="193" s="1"/>
  <c r="M33" i="193"/>
  <c r="M59" i="193" s="1"/>
  <c r="K33" i="193"/>
  <c r="I33" i="193"/>
  <c r="G33" i="193"/>
  <c r="R32" i="193"/>
  <c r="R30" i="193"/>
  <c r="R28" i="193"/>
  <c r="P21" i="193"/>
  <c r="P22" i="193" s="1"/>
  <c r="M21" i="193"/>
  <c r="K21" i="193"/>
  <c r="I21" i="193"/>
  <c r="G21" i="193"/>
  <c r="R20" i="193"/>
  <c r="R19" i="193"/>
  <c r="M17" i="193"/>
  <c r="K17" i="193"/>
  <c r="I17" i="193"/>
  <c r="G17" i="193"/>
  <c r="R16" i="193"/>
  <c r="R15" i="193"/>
  <c r="M8" i="193"/>
  <c r="N7" i="193" s="1"/>
  <c r="K8" i="193"/>
  <c r="L7" i="193" s="1"/>
  <c r="M7" i="193"/>
  <c r="N6" i="193" s="1"/>
  <c r="L6" i="193"/>
  <c r="M22" i="193" l="1"/>
  <c r="M75" i="193" s="1"/>
  <c r="G59" i="193"/>
  <c r="K59" i="193"/>
  <c r="G22" i="193"/>
  <c r="G75" i="193" s="1"/>
  <c r="R42" i="193"/>
  <c r="R48" i="193" s="1"/>
  <c r="P73" i="193"/>
  <c r="P77" i="193" s="1"/>
  <c r="R21" i="193"/>
  <c r="R17" i="193"/>
  <c r="I77" i="193"/>
  <c r="K22" i="193"/>
  <c r="K75" i="193" s="1"/>
  <c r="P75" i="193"/>
  <c r="M77" i="193"/>
  <c r="R33" i="193"/>
  <c r="I22" i="193"/>
  <c r="G77" i="193"/>
  <c r="I48" i="193"/>
  <c r="I59" i="193" s="1"/>
  <c r="K77" i="193"/>
  <c r="R71" i="193"/>
  <c r="R73" i="193" s="1"/>
  <c r="B11" i="191"/>
  <c r="B4" i="192"/>
  <c r="R22" i="193" l="1"/>
  <c r="R75" i="193" s="1"/>
  <c r="M79" i="193"/>
  <c r="R59" i="193"/>
  <c r="P79" i="193"/>
  <c r="R77" i="193"/>
  <c r="K79" i="193"/>
  <c r="I75" i="193"/>
  <c r="I79" i="193" s="1"/>
  <c r="G79" i="193"/>
  <c r="R79" i="193" l="1"/>
  <c r="E34" i="188"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92" s="1"/>
  <c r="A7" i="169"/>
  <c r="B4" i="177"/>
  <c r="B4" i="176"/>
  <c r="B4" i="175"/>
  <c r="D47" i="174"/>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s="1"/>
  <c r="B1" i="189" s="1"/>
  <c r="B1" i="192"/>
  <c r="B2" i="179"/>
  <c r="B2" i="183"/>
  <c r="B2" i="185" s="1"/>
  <c r="B2" i="189" s="1"/>
  <c r="B2" i="177"/>
  <c r="A2" i="170"/>
  <c r="B2" i="174"/>
  <c r="A1" i="171"/>
  <c r="B1" i="179"/>
  <c r="B2" i="176"/>
  <c r="B1" i="175"/>
  <c r="B1" i="177"/>
  <c r="A1" i="170"/>
  <c r="A2" i="171"/>
  <c r="B1" i="174"/>
  <c r="B2" i="175"/>
  <c r="B1" i="176"/>
  <c r="B2" i="184" l="1"/>
  <c r="B2" i="191"/>
  <c r="B2" i="190"/>
  <c r="B2" i="186"/>
  <c r="B1" i="184"/>
  <c r="B1" i="191"/>
  <c r="B1" i="190"/>
  <c r="B1" i="186"/>
  <c r="B7773" i="106"/>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10" i="29"/>
  <c r="B3062" i="106" s="1"/>
  <c r="D3062" i="106" s="1"/>
  <c r="K13" i="29"/>
  <c r="B1105" i="106" s="1"/>
  <c r="D1105"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4" i="37"/>
  <c r="B4270" i="106" s="1"/>
  <c r="D4270" i="106" s="1"/>
  <c r="D22" i="37" l="1"/>
  <c r="F37" i="34"/>
  <c r="D69" i="36"/>
  <c r="H28" i="118"/>
  <c r="D54" i="36"/>
  <c r="J22" i="37"/>
  <c r="F71" i="34"/>
  <c r="H112" i="29"/>
  <c r="B7018" i="106" s="1"/>
  <c r="D7018" i="106" s="1"/>
  <c r="B6289" i="106"/>
  <c r="D6289" i="106" s="1"/>
  <c r="D68" i="36"/>
  <c r="L15" i="11"/>
  <c r="B3459" i="106" s="1"/>
  <c r="D3459" i="106" s="1"/>
  <c r="L5" i="11"/>
  <c r="B2056" i="106" s="1"/>
  <c r="D2056" i="106" s="1"/>
  <c r="G14" i="4"/>
  <c r="B2609" i="106" s="1"/>
  <c r="D2609" i="106" s="1"/>
  <c r="F72" i="34"/>
  <c r="E30" i="108"/>
  <c r="B6995" i="106"/>
  <c r="D6995" i="106" s="1"/>
  <c r="I210" i="29"/>
  <c r="B7071" i="106" s="1"/>
  <c r="D7071" i="106" s="1"/>
  <c r="G30" i="108"/>
  <c r="F42" i="34"/>
  <c r="B2724" i="106"/>
  <c r="D2724" i="106" s="1"/>
  <c r="F69" i="34"/>
  <c r="F64" i="34"/>
  <c r="J210" i="29"/>
  <c r="B7072" i="106" s="1"/>
  <c r="D7072" i="106" s="1"/>
  <c r="F50" i="34"/>
  <c r="F36" i="108"/>
  <c r="F46" i="34"/>
  <c r="F36" i="34"/>
  <c r="H76" i="4"/>
  <c r="B3298" i="106" s="1"/>
  <c r="D3298" i="106" s="1"/>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D7254" i="106" l="1"/>
  <c r="F66" i="34"/>
  <c r="D7250" i="106"/>
  <c r="D7255" i="106"/>
  <c r="D7251" i="106"/>
  <c r="D7252" i="106"/>
  <c r="D7256" i="106"/>
  <c r="C367" i="29"/>
  <c r="B3622" i="106" s="1"/>
  <c r="D3622" i="106" s="1"/>
  <c r="H77" i="4"/>
  <c r="B3299" i="106" s="1"/>
  <c r="D3299" i="106" s="1"/>
  <c r="J16" i="4"/>
  <c r="B6226" i="106" s="1"/>
  <c r="D6226" i="106" s="1"/>
  <c r="B4435" i="106"/>
  <c r="D4435"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B5527" i="106"/>
  <c r="D5527" i="106" s="1"/>
  <c r="F174" i="34"/>
  <c r="D51" i="36"/>
  <c r="K77" i="4"/>
  <c r="B3587" i="106" s="1"/>
  <c r="D3587" i="106" s="1"/>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H18" i="118"/>
  <c r="C10" i="4"/>
  <c r="B4122" i="106" s="1"/>
  <c r="D4122" i="106" s="1"/>
  <c r="B8" i="146"/>
  <c r="F8" i="146" s="1"/>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B3300" i="106"/>
  <c r="D3300" i="106" s="1"/>
  <c r="B7631" i="106"/>
  <c r="F176" i="34"/>
  <c r="A7262" i="106"/>
  <c r="D7261" i="106"/>
  <c r="G78" i="4"/>
  <c r="B2613" i="106"/>
  <c r="D2613" i="106" s="1"/>
  <c r="E78" i="4"/>
  <c r="B2636" i="106"/>
  <c r="D2636" i="106" s="1"/>
  <c r="D64" i="36"/>
  <c r="J82" i="4"/>
  <c r="B6266" i="106"/>
  <c r="D6266" i="106" s="1"/>
  <c r="B3239" i="106" l="1"/>
  <c r="D3239" i="106" s="1"/>
  <c r="B3278" i="106"/>
  <c r="D3278" i="106" s="1"/>
  <c r="A7263" i="106"/>
  <c r="D7262" i="106"/>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I82" i="4"/>
  <c r="B1700" i="106"/>
  <c r="D1700" i="106" s="1"/>
  <c r="H82" i="4"/>
  <c r="E82" i="4"/>
  <c r="B1658" i="106"/>
  <c r="D1658" i="106" s="1"/>
  <c r="I83" i="4" l="1"/>
  <c r="B6282" i="106" s="1"/>
  <c r="D6282" i="106" s="1"/>
  <c r="B6273" i="106"/>
  <c r="D6273" i="106" s="1"/>
  <c r="H83" i="4"/>
  <c r="B6281" i="106" s="1"/>
  <c r="D6281" i="106" s="1"/>
  <c r="B6272" i="106"/>
  <c r="D6272" i="106" s="1"/>
  <c r="B6269" i="106"/>
  <c r="D6269" i="106" s="1"/>
  <c r="E83" i="4"/>
  <c r="B6278" i="106" s="1"/>
  <c r="D6278" i="106" s="1"/>
  <c r="B2912" i="106" l="1"/>
  <c r="D2912" i="106" s="1"/>
  <c r="I41" i="3"/>
  <c r="D63" i="36"/>
  <c r="B140" i="106"/>
  <c r="D140" i="106" s="1"/>
  <c r="E41" i="3"/>
  <c r="D59" i="36"/>
  <c r="D50" i="36" l="1"/>
  <c r="B2913" i="106"/>
  <c r="D2913" i="106" s="1"/>
  <c r="B141" i="106"/>
  <c r="D141" i="106" s="1"/>
  <c r="D46" i="36"/>
  <c r="B212" i="106" l="1"/>
  <c r="D212" i="106" s="1"/>
  <c r="H41" i="3"/>
  <c r="D62" i="36"/>
  <c r="B282" i="106"/>
  <c r="D282" i="106" s="1"/>
  <c r="N23" i="3"/>
  <c r="D49" i="36" l="1"/>
  <c r="B213" i="106"/>
  <c r="D213" i="106" s="1"/>
  <c r="B284" i="106"/>
  <c r="D284" i="106" s="1"/>
  <c r="D55" i="36"/>
  <c r="L33" i="29" l="1"/>
  <c r="L114" i="29" s="1"/>
  <c r="C33" i="29" l="1"/>
  <c r="K5" i="29"/>
  <c r="B705" i="106"/>
  <c r="D705" i="106" s="1"/>
  <c r="B763" i="106"/>
  <c r="D763" i="106" s="1"/>
  <c r="D33" i="29"/>
  <c r="B778" i="106" l="1"/>
  <c r="D778" i="106" s="1"/>
  <c r="D114" i="29"/>
  <c r="B815" i="106" s="1"/>
  <c r="D815" i="106" s="1"/>
  <c r="B1093" i="106"/>
  <c r="D1093" i="106" s="1"/>
  <c r="K33" i="29"/>
  <c r="B720" i="106"/>
  <c r="D720" i="106" s="1"/>
  <c r="C114" i="29"/>
  <c r="B757" i="106" s="1"/>
  <c r="D757" i="106" s="1"/>
  <c r="B1108" i="106" l="1"/>
  <c r="D1108" i="106" s="1"/>
  <c r="G19" i="108"/>
  <c r="G41" i="108" s="1"/>
  <c r="G44" i="108" s="1"/>
  <c r="G45" i="108" s="1"/>
  <c r="E19" i="108"/>
  <c r="E41" i="108" s="1"/>
  <c r="E44" i="108" s="1"/>
  <c r="E45" i="108" s="1"/>
  <c r="C12" i="4"/>
  <c r="K114" i="29"/>
  <c r="B1152" i="106" l="1"/>
  <c r="D1152" i="106" s="1"/>
  <c r="K115" i="29"/>
  <c r="B1153" i="106" s="1"/>
  <c r="D1153" i="106" s="1"/>
  <c r="F8" i="34"/>
  <c r="F14" i="34" s="1"/>
  <c r="F77" i="34" s="1"/>
  <c r="F175" i="34" s="1"/>
  <c r="F177" i="34" s="1"/>
  <c r="F179" i="34" s="1"/>
  <c r="B2556" i="106"/>
  <c r="D2556" i="106" s="1"/>
  <c r="C17" i="4"/>
  <c r="B2561" i="106" l="1"/>
  <c r="D2561" i="106" s="1"/>
  <c r="H17" i="118"/>
  <c r="C20" i="4"/>
  <c r="C19" i="4"/>
  <c r="B4136" i="106" s="1"/>
  <c r="D4136" i="106" s="1"/>
  <c r="F16" i="37"/>
  <c r="H16" i="37" s="1"/>
  <c r="B9" i="146"/>
  <c r="B10" i="146" l="1"/>
  <c r="F9" i="146"/>
  <c r="F10" i="146" s="1"/>
  <c r="B2562" i="106"/>
  <c r="D2562" i="106" s="1"/>
  <c r="C78" i="4"/>
  <c r="H25" i="118"/>
  <c r="K24" i="118" s="1"/>
  <c r="O23" i="118" s="1"/>
  <c r="O25" i="118" s="1"/>
  <c r="K17" i="118"/>
  <c r="B3233" i="106" l="1"/>
  <c r="D3233" i="106" s="1"/>
  <c r="C81" i="4"/>
  <c r="O16" i="118"/>
  <c r="J20" i="118"/>
  <c r="K20" i="118"/>
  <c r="B92" i="106" l="1"/>
  <c r="D92" i="106" s="1"/>
  <c r="C41" i="3"/>
  <c r="D57" i="36"/>
  <c r="D76" i="36"/>
  <c r="O17" i="118"/>
  <c r="O20" i="118" s="1"/>
  <c r="B11" i="146"/>
  <c r="F11" i="146" s="1"/>
  <c r="C82" i="4"/>
  <c r="B1630" i="106"/>
  <c r="D1630" i="106" s="1"/>
  <c r="J16" i="37"/>
  <c r="B4269" i="106" s="1"/>
  <c r="D4269" i="106" s="1"/>
  <c r="H12" i="118"/>
  <c r="K12" i="118" s="1"/>
  <c r="O11" i="118" s="1"/>
  <c r="O13" i="118" s="1"/>
  <c r="C83" i="4" l="1"/>
  <c r="B6276" i="106" s="1"/>
  <c r="D6276" i="106" s="1"/>
  <c r="B6267" i="106"/>
  <c r="D6267" i="106" s="1"/>
  <c r="O35" i="118"/>
  <c r="O37" i="118" s="1"/>
  <c r="C12" i="146"/>
  <c r="D29" i="36"/>
  <c r="J24" i="24" s="1"/>
  <c r="B93" i="106"/>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<sst xmlns="http://schemas.openxmlformats.org/spreadsheetml/2006/main" count="5505" uniqueCount="2260">
  <si>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</si>
  <si>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</si>
  <si>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</si>
  <si>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</si>
  <si>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</si>
  <si>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</si>
  <si>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</si>
  <si>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</si>
  <si>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</si>
  <si>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</si>
  <si>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</si>
  <si>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</si>
  <si>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</si>
  <si>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</si>
  <si>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</si>
  <si>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</si>
  <si>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</si>
  <si>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</si>
  <si>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</si>
  <si>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</si>
  <si>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</si>
  <si>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</si>
  <si>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</si>
  <si>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</si>
  <si>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</si>
  <si>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</si>
  <si>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</si>
  <si>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</si>
  <si>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</si>
  <si>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</si>
  <si>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</si>
  <si>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</si>
  <si>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</si>
  <si>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</si>
  <si>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</si>
  <si>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</si>
  <si>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</si>
  <si>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</si>
  <si>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</si>
  <si>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</si>
  <si>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</si>
  <si>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</si>
  <si>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</si>
  <si>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</si>
  <si>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</si>
  <si>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</si>
  <si>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</si>
  <si>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</si>
  <si>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</si>
  <si>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</si>
  <si>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</si>
  <si>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</si>
  <si>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</si>
  <si>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</si>
  <si>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</si>
  <si>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</si>
  <si>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</si>
  <si>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</si>
  <si>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</si>
  <si>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</si>
  <si>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</si>
  <si>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</si>
  <si>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</si>
  <si>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</si>
  <si>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</si>
  <si>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</si>
  <si>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</si>
  <si>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</si>
  <si>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</si>
  <si>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</si>
  <si>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</si>
  <si>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</si>
  <si>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</si>
  <si>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</si>
  <si>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</si>
  <si>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</si>
  <si>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</si>
  <si>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</si>
  <si>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</si>
  <si>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</si>
  <si>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</si>
  <si>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</si>
  <si>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</si>
  <si>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</si>
  <si>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</si>
  <si>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</si>
  <si>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</si>
  <si>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</si>
  <si>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</si>
  <si>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</si>
  <si>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</si>
  <si>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</si>
  <si>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</si>
  <si>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</si>
  <si>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</si>
  <si>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</si>
  <si>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</si>
  <si>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</si>
  <si>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</si>
  <si>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</si>
  <si>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</si>
  <si>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</si>
  <si>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</si>
  <si>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</si>
  <si>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</si>
  <si>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</si>
  <si>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</si>
  <si>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</si>
  <si>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</si>
  <si>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</si>
  <si>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</si>
  <si>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</si>
  <si>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</si>
  <si>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</si>
  <si>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</si>
  <si>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</si>
  <si>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</si>
  <si>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</si>
  <si>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</si>
  <si>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</si>
  <si>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</si>
  <si>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</si>
  <si>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</si>
  <si>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</si>
  <si>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</si>
  <si>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</si>
  <si>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</si>
  <si>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</si>
  <si>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</si>
  <si>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</si>
  <si>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</si>
  <si>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</si>
  <si>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</si>
  <si>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</si>
  <si>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</si>
  <si>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</si>
  <si>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</si>
  <si>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</si>
  <si>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</si>
  <si>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</si>
  <si>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</si>
  <si>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</si>
  <si>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</si>
  <si>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</si>
  <si>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</si>
  <si>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</si>
  <si>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</si>
  <si>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</si>
  <si>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</si>
  <si>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</si>
  <si>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</si>
  <si>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</si>
  <si>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</si>
  <si>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</si>
  <si>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</si>
  <si>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</si>
  <si>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</si>
  <si>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</si>
  <si>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</si>
  <si>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</si>
  <si>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</si>
  <si>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</si>
  <si>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</si>
  <si>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</si>
  <si>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</si>
  <si>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</si>
  <si>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</si>
  <si>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</si>
  <si>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</si>
  <si>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</si>
  <si>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</si>
  <si>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</si>
  <si>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</si>
  <si>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</si>
  <si>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</si>
  <si>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</si>
  <si>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</si>
  <si>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</si>
  <si>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</si>
  <si>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</si>
  <si>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</si>
  <si>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</si>
  <si>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</si>
  <si>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</si>
  <si>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</si>
  <si>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</si>
  <si>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</si>
  <si>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</si>
  <si>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</si>
  <si>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</si>
  <si>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</si>
  <si>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</si>
  <si>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</si>
  <si>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</si>
  <si>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</si>
  <si>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</si>
  <si>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</si>
  <si>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</si>
  <si>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</si>
  <si>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</si>
  <si>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</si>
  <si>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</si>
  <si>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</si>
  <si>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</si>
  <si>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</si>
  <si>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</si>
  <si>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</si>
  <si>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</si>
  <si>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</si>
  <si>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</si>
  <si>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</si>
  <si>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</si>
  <si>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</si>
  <si>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</si>
  <si>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</si>
  <si>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</si>
  <si>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</si>
  <si>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</si>
  <si>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</si>
  <si>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</si>
  <si>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</si>
  <si>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</si>
  <si>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</si>
  <si>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</si>
  <si>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</si>
  <si>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</si>
  <si>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</si>
  <si>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</si>
  <si>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</si>
  <si>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</si>
  <si>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</si>
  <si>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</si>
  <si>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</si>
  <si>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</si>
  <si>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</si>
  <si>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</si>
  <si>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</si>
  <si>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</si>
  <si>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</si>
  <si>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</si>
  <si>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</si>
  <si>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</si>
  <si>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</si>
  <si>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</si>
  <si>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</si>
  <si>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</si>
  <si>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</si>
  <si>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</si>
  <si>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</si>
  <si>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</si>
  <si>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</si>
  <si>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</si>
  <si>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</si>
  <si>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</si>
  <si>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</si>
  <si>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</si>
  <si>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</si>
  <si>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</si>
  <si>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</si>
  <si>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</si>
  <si>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</si>
  <si>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</si>
  <si>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</si>
  <si>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</si>
  <si>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</si>
  <si>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</si>
  <si>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</si>
  <si>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</si>
  <si>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</si>
  <si>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</si>
  <si>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</si>
  <si>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</si>
  <si>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</si>
  <si>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</si>
  <si>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</si>
  <si>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</si>
  <si>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</si>
  <si>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</si>
  <si>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</si>
  <si>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</si>
  <si>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</si>
  <si>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</si>
  <si>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</si>
  <si>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</si>
  <si>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</si>
  <si>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</si>
  <si>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</si>
  <si>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</si>
  <si>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</si>
  <si>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</si>
  <si>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</si>
  <si>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</si>
  <si>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</si>
  <si>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</si>
  <si>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</si>
  <si>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</si>
  <si>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</si>
  <si>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</si>
  <si>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</si>
  <si>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</si>
  <si>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</si>
  <si>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</si>
  <si>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</si>
  <si>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</si>
  <si>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</si>
  <si>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</si>
  <si>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</si>
  <si>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</si>
  <si>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</si>
  <si>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</si>
  <si>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</si>
  <si>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</si>
  <si>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</si>
  <si>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</si>
  <si>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</si>
  <si>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</si>
  <si>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</si>
  <si>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</si>
  <si>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</si>
  <si>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</si>
  <si>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</si>
  <si>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</si>
  <si>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</si>
  <si>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</si>
  <si>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</si>
  <si>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</si>
  <si>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</si>
  <si>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</si>
  <si>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</si>
  <si>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</si>
  <si>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</si>
  <si>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</si>
  <si>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</si>
  <si>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</si>
  <si>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</si>
  <si>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</si>
  <si>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</si>
  <si>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</si>
  <si>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</si>
  <si>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</si>
  <si>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</si>
  <si>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</si>
  <si>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</si>
  <si>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</si>
  <si>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</si>
  <si>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</si>
  <si>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</si>
  <si>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</si>
  <si>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</si>
  <si>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</si>
  <si>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</si>
  <si>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</si>
  <si>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</si>
  <si>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</si>
  <si>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</si>
  <si>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</si>
  <si>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</si>
  <si>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</si>
  <si>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</si>
  <si>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</si>
  <si>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</si>
  <si>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</si>
  <si>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</si>
  <si>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</si>
  <si>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</si>
  <si>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</si>
  <si>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</si>
  <si>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</si>
  <si>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</si>
  <si>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</si>
  <si>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</si>
  <si>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</si>
  <si>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</si>
  <si>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</si>
  <si>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</si>
  <si>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</si>
  <si>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</si>
  <si>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</si>
  <si>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</si>
  <si>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</si>
  <si>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</si>
  <si>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</si>
  <si>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</si>
  <si>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</si>
  <si>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</si>
  <si>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</si>
  <si>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</si>
  <si>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</si>
  <si>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</si>
  <si>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</si>
  <si>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</si>
  <si>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</si>
  <si>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</si>
  <si>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</si>
  <si>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</si>
  <si>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</si>
  <si>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</si>
  <si>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</si>
  <si>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</si>
  <si>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</si>
  <si>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</si>
  <si>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</si>
  <si>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</si>
  <si>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</si>
  <si>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</si>
  <si>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</si>
  <si>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</si>
  <si>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</si>
  <si>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</si>
  <si>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</si>
  <si>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</si>
  <si>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</si>
  <si>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</si>
  <si>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</si>
  <si>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</si>
  <si>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</si>
  <si>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</si>
  <si>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</si>
  <si>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</si>
  <si>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</si>
  <si>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</si>
  <si>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</si>
  <si>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</si>
  <si>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</si>
  <si>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</si>
  <si>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</si>
  <si>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</si>
  <si>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</si>
  <si>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</si>
  <si>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</si>
  <si>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</si>
  <si>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</si>
  <si>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</si>
  <si>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</si>
  <si>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</si>
  <si>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</si>
  <si>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</si>
  <si>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</si>
  <si>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</si>
  <si>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</si>
  <si>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</si>
  <si>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</si>
  <si>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</si>
  <si>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</si>
  <si>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</si>
  <si>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</si>
  <si>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</si>
  <si>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</si>
  <si>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</si>
  <si>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</si>
  <si>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</si>
  <si>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</si>
  <si>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</si>
  <si>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</si>
  <si>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</si>
  <si>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</si>
  <si>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</si>
  <si>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</si>
  <si>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</si>
  <si>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</si>
  <si>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</si>
  <si>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</si>
  <si>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</si>
  <si>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</si>
  <si>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</si>
  <si>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</si>
  <si>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</si>
  <si>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</si>
  <si>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</si>
  <si>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</si>
  <si>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</si>
  <si>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</si>
  <si>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</si>
  <si>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</si>
  <si>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</si>
  <si>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</si>
  <si>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</si>
  <si>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</si>
  <si>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</si>
  <si>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</si>
  <si>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</si>
  <si>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</si>
  <si>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</si>
  <si>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</si>
  <si>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</si>
  <si>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</si>
  <si>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</si>
  <si>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</si>
  <si>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</si>
  <si>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</si>
  <si>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</si>
  <si>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</si>
  <si>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</si>
  <si>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</si>
  <si>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</si>
  <si>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</si>
  <si>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</si>
  <si>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</si>
  <si>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</si>
  <si>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</si>
  <si>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</si>
  <si>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</si>
  <si>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</si>
  <si>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</si>
  <si>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</si>
  <si>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</si>
  <si>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</si>
  <si>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</si>
  <si>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</si>
  <si>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</si>
  <si>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</si>
  <si>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</si>
  <si>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</si>
  <si>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</si>
  <si>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</si>
  <si>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</si>
  <si>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</si>
  <si>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</si>
  <si>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</si>
  <si>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</si>
  <si>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</si>
  <si>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</si>
  <si>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</si>
  <si>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</si>
  <si>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</si>
  <si>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</si>
  <si>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</si>
  <si>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</si>
  <si>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</si>
  <si>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</si>
  <si>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</si>
  <si>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</si>
  <si>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</si>
  <si>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</si>
  <si>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</si>
  <si>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</si>
  <si>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</si>
  <si>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</si>
  <si>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</si>
  <si>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</si>
  <si>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</si>
  <si>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</si>
  <si>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</si>
  <si>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</si>
  <si>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</si>
  <si>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</si>
  <si>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</si>
  <si>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</si>
  <si>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</si>
  <si>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</si>
  <si>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</si>
  <si>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</si>
  <si>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</si>
  <si>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</si>
  <si>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</si>
  <si>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</si>
  <si>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</si>
  <si>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</si>
  <si>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</si>
  <si>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</si>
  <si>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</si>
  <si>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</si>
  <si>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</si>
  <si>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</si>
  <si>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</si>
  <si>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</si>
  <si>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</si>
  <si>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</si>
  <si>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</si>
  <si>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</si>
  <si>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</si>
  <si>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</si>
  <si>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</si>
  <si>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</si>
  <si>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</si>
  <si>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</si>
  <si>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</si>
  <si>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</si>
  <si>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</si>
  <si>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</si>
  <si>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</si>
  <si>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</si>
  <si>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</si>
  <si>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</si>
  <si>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</si>
  <si>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</si>
  <si>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</si>
  <si>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</si>
  <si>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</si>
  <si>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</si>
  <si>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</si>
  <si>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</si>
  <si>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</si>
  <si>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</si>
  <si>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</si>
  <si>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</si>
  <si>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</si>
  <si>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</si>
  <si>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</si>
  <si>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</si>
  <si>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</si>
  <si>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</si>
  <si>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</si>
  <si>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</si>
  <si>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</si>
  <si>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</si>
  <si>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</si>
  <si>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</si>
  <si>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</si>
  <si>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</si>
  <si>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</si>
  <si>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</si>
  <si>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</si>
  <si>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</si>
  <si>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</si>
  <si>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</si>
  <si>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</si>
  <si>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</si>
  <si>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</si>
  <si>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</si>
  <si>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</si>
  <si>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</si>
  <si>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</si>
  <si>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</si>
  <si>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</si>
  <si>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</si>
  <si>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</si>
  <si>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</si>
  <si>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</si>
  <si>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</si>
  <si>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</si>
  <si>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</si>
  <si>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</si>
  <si>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</si>
  <si>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</si>
  <si>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</si>
  <si>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</si>
  <si>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</si>
  <si>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</si>
  <si>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</si>
  <si>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</si>
  <si>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</si>
  <si>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</si>
  <si>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</si>
  <si>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</si>
  <si>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</si>
  <si>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</si>
  <si>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</si>
  <si>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</si>
  <si>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</si>
  <si>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</si>
  <si>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</si>
  <si>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</si>
  <si>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</si>
  <si>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</si>
  <si>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</si>
  <si>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</si>
  <si>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</si>
  <si>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</si>
  <si>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</si>
  <si>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</si>
  <si>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</si>
  <si>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</si>
  <si>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</si>
  <si>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</si>
  <si>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</si>
  <si>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</si>
  <si>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</si>
  <si>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</si>
  <si>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</si>
  <si>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</si>
  <si>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</si>
  <si>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</si>
  <si>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</si>
  <si>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</si>
  <si>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</si>
  <si>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</si>
  <si>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</si>
  <si>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</si>
  <si>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</si>
  <si>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</si>
  <si>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</si>
  <si>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</si>
  <si>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</si>
  <si>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</si>
  <si>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</si>
  <si>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</si>
  <si>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</si>
  <si>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</si>
  <si>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</si>
  <si>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</si>
  <si>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</si>
  <si>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</si>
  <si>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</si>
  <si>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</si>
  <si>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</si>
  <si>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</si>
  <si>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</si>
  <si>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</si>
  <si>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</si>
  <si>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</si>
  <si>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</si>
  <si>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</si>
  <si>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</si>
  <si>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</si>
  <si>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</si>
  <si>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</si>
  <si>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</si>
  <si>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</si>
  <si>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</si>
  <si>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</si>
  <si>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</si>
  <si>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</si>
  <si>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</si>
  <si>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</si>
  <si>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</si>
  <si>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</si>
  <si>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</si>
  <si>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</si>
  <si>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</si>
  <si>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</si>
  <si>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</si>
  <si>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</si>
  <si>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</si>
  <si>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</si>
  <si>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</si>
  <si>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</si>
  <si>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</si>
  <si>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</si>
  <si>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</si>
  <si>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</si>
  <si>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</si>
  <si>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</si>
  <si>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</si>
  <si>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</si>
  <si>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</si>
  <si>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</si>
  <si>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</si>
  <si>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</si>
  <si>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</si>
  <si>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</si>
  <si>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</si>
  <si>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</si>
  <si>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</si>
  <si>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</si>
  <si>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</si>
  <si>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</si>
  <si>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</si>
  <si>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</si>
  <si>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</si>
  <si>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</si>
  <si>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</si>
  <si>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</si>
  <si>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</si>
  <si>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</si>
  <si>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</si>
  <si>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</si>
  <si>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</si>
  <si>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</si>
  <si>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</si>
  <si>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</si>
  <si>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</si>
  <si>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</si>
  <si>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</si>
  <si>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</si>
  <si>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</si>
  <si>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</si>
  <si>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</si>
  <si>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</si>
  <si>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</si>
  <si>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</si>
  <si>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</si>
  <si>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</si>
  <si>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</si>
  <si>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</si>
  <si>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</si>
  <si>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</si>
  <si>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</si>
  <si>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</si>
  <si>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</si>
  <si>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</si>
  <si>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</si>
  <si>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</si>
  <si>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</si>
  <si>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</si>
  <si>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</si>
  <si>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</si>
  <si>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</si>
  <si>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</si>
  <si>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</si>
  <si>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</si>
  <si>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</si>
  <si>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</si>
  <si>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</si>
  <si>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</si>
  <si>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</si>
  <si>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</si>
  <si>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</si>
  <si>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</si>
  <si>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</si>
  <si>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</si>
  <si>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</si>
  <si>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</si>
  <si>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</si>
  <si>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</si>
  <si>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</si>
  <si>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</si>
  <si>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</si>
  <si>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</si>
  <si>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</si>
  <si>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</si>
  <si>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</si>
  <si>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</si>
  <si>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</si>
  <si>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</si>
  <si>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</si>
  <si>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</si>
  <si>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</si>
  <si>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</si>
  <si>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</si>
  <si>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</si>
  <si>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</si>
  <si>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</si>
  <si>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</si>
  <si>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</si>
  <si>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</si>
  <si>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</si>
  <si>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</si>
  <si>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</si>
  <si>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</si>
  <si>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</si>
  <si>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</si>
  <si>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</si>
  <si>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</si>
  <si>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</si>
  <si>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</si>
  <si>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</si>
  <si>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</si>
  <si>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</si>
  <si>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</si>
  <si>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</si>
  <si>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</si>
  <si>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</si>
  <si>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</si>
  <si>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</si>
  <si>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</si>
  <si>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</si>
  <si>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</si>
  <si>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</si>
  <si>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</si>
  <si>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</si>
  <si>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</si>
  <si>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</si>
  <si>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</si>
  <si>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</si>
  <si>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</si>
  <si>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</si>
  <si>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</si>
  <si>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</si>
  <si>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</si>
  <si>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</si>
  <si>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</si>
  <si>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</si>
  <si>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</si>
  <si>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</si>
  <si>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</si>
  <si>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</si>
  <si>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</si>
  <si>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</si>
  <si>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</si>
  <si>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</si>
  <si>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</si>
  <si>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</si>
  <si>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</si>
  <si>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</si>
  <si>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</si>
  <si>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</si>
  <si>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</si>
  <si>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</si>
  <si>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</si>
  <si>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</si>
  <si>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</si>
  <si>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</si>
  <si>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</si>
  <si>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</si>
  <si>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</si>
  <si>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</si>
  <si>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</si>
  <si>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</si>
  <si>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</si>
  <si>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</si>
  <si>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</si>
  <si>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</si>
  <si>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</si>
  <si>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</si>
  <si>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</si>
  <si>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</si>
  <si>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</si>
  <si>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</si>
  <si>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</si>
  <si>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</si>
  <si>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</si>
  <si>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</si>
  <si>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</si>
  <si>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</si>
  <si>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</si>
  <si>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</si>
  <si>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</si>
  <si>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</si>
  <si>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</si>
  <si>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</si>
  <si>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</si>
  <si>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</si>
  <si>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</si>
  <si>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</si>
  <si>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</si>
  <si>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</si>
  <si>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</si>
  <si>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</si>
  <si>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</si>
  <si>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</si>
  <si>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</si>
  <si>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</si>
  <si>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</si>
  <si>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</si>
  <si>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</si>
  <si>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</si>
  <si>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</si>
  <si>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</si>
  <si>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</si>
  <si>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</si>
  <si>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</si>
  <si>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</si>
  <si>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</si>
  <si>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</si>
  <si>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</si>
  <si>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</si>
  <si>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</si>
  <si>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</si>
  <si>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</si>
  <si>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</si>
  <si>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</si>
  <si>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</si>
  <si>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</si>
  <si>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</si>
  <si>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</si>
  <si>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</si>
  <si>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</si>
  <si>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</si>
  <si>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</si>
  <si>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</si>
  <si>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</si>
  <si>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</si>
  <si>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</si>
  <si>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</si>
  <si>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</si>
  <si>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</si>
  <si>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</si>
  <si>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</si>
  <si>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</si>
  <si>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</si>
  <si>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</si>
  <si>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</si>
  <si>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</si>
  <si>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</si>
  <si>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</si>
  <si>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</si>
  <si>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</si>
  <si>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</si>
  <si>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</si>
  <si>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</si>
  <si>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</si>
  <si>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</si>
  <si>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</si>
  <si>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</si>
  <si>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</si>
  <si>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</si>
  <si>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</si>
  <si>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</si>
  <si>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</si>
  <si>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</si>
  <si>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</si>
  <si>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</si>
  <si>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</si>
  <si>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</si>
  <si>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</si>
  <si>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</si>
  <si>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</si>
  <si>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</si>
  <si>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</si>
  <si>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</si>
  <si>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</si>
  <si>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</si>
  <si>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</si>
  <si>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</si>
  <si>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</si>
  <si>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</si>
  <si>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</si>
  <si>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</si>
  <si>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</si>
  <si>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</si>
  <si>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</si>
  <si>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</si>
  <si>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</si>
  <si>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</si>
  <si>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</si>
  <si>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</si>
  <si>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</si>
  <si>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</si>
  <si>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</si>
  <si>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</si>
  <si>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</si>
  <si>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</si>
  <si>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</si>
  <si>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</si>
  <si>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</si>
  <si>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</si>
  <si>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</si>
  <si>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</si>
  <si>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</si>
  <si>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</si>
  <si>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</si>
  <si>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</si>
  <si>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</si>
  <si>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</si>
  <si>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</si>
  <si>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</si>
  <si>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</si>
  <si>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</si>
  <si>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</si>
  <si>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</si>
  <si>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</si>
  <si>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</si>
  <si>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</si>
  <si>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</si>
  <si>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</si>
  <si>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</si>
  <si>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</si>
  <si>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</si>
  <si>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</si>
  <si>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</si>
  <si>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</si>
  <si>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</si>
  <si>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</si>
  <si>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</si>
  <si>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</si>
  <si>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</si>
  <si>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</si>
  <si>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</si>
  <si>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</si>
  <si>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</si>
  <si>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</si>
  <si>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</si>
  <si>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</si>
  <si>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</si>
  <si>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</si>
  <si>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</si>
  <si>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</si>
  <si>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</si>
  <si>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</si>
  <si>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</si>
  <si>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</si>
  <si>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</si>
  <si>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</si>
  <si>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</si>
  <si>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</si>
  <si>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</si>
  <si>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</si>
  <si>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</si>
  <si>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</si>
  <si>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</si>
  <si>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</si>
  <si>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</si>
  <si>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</si>
  <si>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</si>
  <si>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</si>
  <si>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</si>
  <si>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</si>
  <si>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</si>
  <si>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</si>
  <si>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</si>
  <si>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</si>
  <si>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</si>
  <si>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</si>
  <si>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</si>
  <si>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</si>
  <si>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</si>
  <si>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</si>
  <si>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</si>
  <si>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</si>
  <si>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</si>
  <si>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</si>
  <si>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</si>
  <si>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</si>
  <si>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</si>
  <si>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</si>
  <si>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</si>
  <si>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</si>
  <si>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</si>
  <si>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</si>
  <si>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</si>
  <si>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</si>
  <si>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</si>
  <si>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</si>
  <si>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</si>
  <si>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</si>
  <si>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</si>
  <si>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</si>
  <si>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</si>
  <si>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</si>
  <si>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</si>
  <si>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</si>
  <si>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</si>
  <si>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</si>
  <si>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</si>
  <si>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</si>
  <si>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</si>
  <si>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</si>
  <si>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</si>
  <si>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</si>
  <si>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</si>
  <si>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</si>
  <si>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</si>
  <si>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</si>
  <si>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</si>
  <si>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</si>
  <si>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</si>
  <si>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</si>
  <si>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</si>
  <si>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</si>
  <si>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</si>
  <si>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</si>
  <si>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</si>
  <si>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</si>
  <si>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</si>
  <si>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</si>
  <si>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</si>
  <si>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</si>
  <si>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</si>
  <si>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</si>
  <si>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</si>
  <si>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</si>
  <si>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</si>
  <si>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</si>
  <si>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</si>
  <si>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</si>
  <si>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</si>
  <si>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</si>
  <si>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</si>
  <si>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</si>
  <si>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</si>
  <si>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</si>
  <si>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</si>
  <si>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</si>
  <si>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</si>
  <si>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</si>
  <si>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</si>
  <si>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</si>
  <si>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</si>
  <si>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</si>
  <si>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</si>
  <si>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</si>
  <si>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</si>
  <si>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</si>
  <si>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</si>
  <si>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</si>
  <si>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</si>
  <si>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</si>
  <si>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</si>
  <si>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</si>
  <si>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</si>
  <si>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</si>
  <si>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</si>
  <si>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</si>
  <si>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</si>
  <si>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</si>
  <si>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</si>
  <si>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</si>
  <si>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</si>
  <si>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</si>
  <si>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</si>
  <si>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</si>
  <si>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</si>
  <si>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</si>
  <si>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</si>
  <si>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</si>
  <si>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</si>
  <si>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</si>
  <si>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</si>
  <si>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</si>
  <si>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</si>
  <si>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</si>
  <si>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</si>
  <si>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</si>
  <si>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</si>
  <si>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</si>
  <si>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</si>
  <si>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</si>
  <si>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</si>
  <si>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</si>
  <si>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</si>
  <si>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</si>
  <si>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</si>
  <si>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</si>
  <si>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</si>
  <si>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</si>
  <si>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</si>
  <si>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</si>
  <si>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</si>
  <si>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</si>
  <si>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</si>
  <si>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</si>
  <si>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</si>
  <si>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</si>
  <si>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</si>
  <si>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</si>
  <si>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</si>
  <si>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</si>
  <si>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</si>
  <si>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</si>
  <si>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</si>
  <si>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</si>
  <si>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</si>
  <si>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</si>
  <si>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</si>
  <si>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</si>
  <si>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</si>
  <si>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</si>
  <si>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</si>
  <si>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</si>
  <si>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</si>
  <si>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</si>
  <si>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</si>
  <si>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</si>
  <si>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</si>
  <si>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</si>
  <si>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</si>
  <si>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</si>
  <si>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</si>
  <si>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</si>
  <si>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</si>
  <si>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</si>
  <si>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</si>
  <si>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</si>
  <si>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</si>
  <si>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</si>
  <si>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</si>
  <si>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</si>
  <si>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</si>
  <si>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</si>
  <si>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</si>
  <si>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</si>
  <si>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</si>
  <si>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</si>
  <si>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</si>
  <si>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</si>
  <si>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</si>
  <si>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</si>
  <si>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</si>
  <si>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</si>
  <si>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</si>
  <si>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</si>
  <si>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</si>
  <si>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</si>
  <si>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</si>
  <si>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</si>
  <si>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</si>
  <si>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</si>
  <si>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</si>
  <si>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</si>
  <si>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</si>
  <si>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</si>
  <si>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</si>
  <si>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</si>
  <si>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</si>
  <si>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</si>
  <si>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</si>
  <si>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</si>
  <si>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</si>
  <si>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</si>
  <si>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</si>
  <si>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</si>
  <si>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</si>
  <si>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</si>
  <si>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</si>
  <si>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</si>
  <si>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</si>
  <si>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</si>
  <si>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</si>
  <si>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</si>
  <si>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</si>
  <si>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</si>
  <si>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</si>
  <si>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</si>
  <si>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</si>
  <si>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</si>
  <si>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</si>
  <si>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</si>
  <si>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</si>
  <si>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</si>
  <si>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</si>
  <si>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</si>
  <si>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</si>
  <si>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</si>
  <si>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</si>
  <si>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</si>
  <si>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</si>
  <si>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</si>
  <si>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</si>
  <si>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</si>
  <si>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</si>
  <si>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</si>
  <si>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</si>
  <si>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</si>
  <si>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</si>
  <si>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</si>
  <si>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</si>
  <si>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</si>
  <si>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</si>
  <si>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</si>
  <si>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</si>
  <si>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</si>
  <si>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</si>
  <si>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</si>
  <si>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</si>
  <si>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</si>
  <si>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</si>
  <si>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</si>
  <si>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</si>
  <si>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</si>
  <si>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</si>
  <si>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</si>
  <si>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</si>
  <si>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</si>
  <si>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</si>
  <si>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</si>
  <si>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</si>
  <si>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</si>
  <si>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</si>
  <si>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</si>
  <si>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</si>
  <si>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</si>
  <si>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</si>
  <si>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</si>
  <si>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</si>
  <si>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</si>
  <si>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</si>
  <si>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</si>
  <si>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</si>
  <si>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</si>
  <si>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</si>
  <si>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</si>
  <si>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</si>
  <si>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</si>
  <si>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</si>
  <si>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</si>
  <si>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</si>
  <si>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</si>
  <si>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</si>
  <si>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</si>
  <si>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</si>
  <si>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</si>
  <si>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</si>
  <si>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</si>
  <si>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</si>
  <si>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</si>
  <si>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</si>
  <si>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</si>
  <si>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</si>
  <si>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</si>
  <si>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</si>
  <si>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</si>
  <si>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</si>
  <si>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</si>
  <si>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</si>
  <si>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</si>
  <si>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</si>
  <si>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</si>
  <si>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</si>
  <si>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</si>
  <si>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</si>
  <si>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</si>
  <si>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</si>
  <si>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</si>
  <si>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</si>
  <si>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</si>
  <si>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</si>
  <si>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</si>
  <si>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</si>
  <si>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</si>
  <si>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</si>
  <si>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</si>
  <si>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</si>
  <si>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</si>
  <si>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</si>
  <si>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</si>
  <si>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</si>
  <si>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</si>
  <si>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</si>
  <si>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</si>
  <si>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</si>
  <si>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</si>
  <si>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</si>
  <si>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</si>
  <si>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</si>
  <si>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</si>
  <si>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</si>
  <si>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</si>
  <si>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</si>
  <si>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</si>
  <si>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</si>
  <si>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</si>
  <si>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</si>
  <si>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</si>
  <si>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</si>
  <si>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</si>
  <si>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</si>
  <si>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</si>
  <si>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</si>
  <si>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</si>
  <si>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</si>
  <si>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</si>
  <si>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</si>
  <si>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</si>
  <si>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</si>
  <si>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</si>
  <si>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</si>
  <si>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</si>
  <si>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</si>
  <si>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</si>
  <si>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</si>
  <si>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</si>
  <si>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</si>
  <si>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</si>
  <si>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</si>
  <si>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</si>
  <si>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</si>
  <si>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</si>
  <si>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</si>
  <si>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</si>
  <si>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</si>
  <si>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</si>
  <si>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</si>
  <si>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</si>
  <si>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</si>
  <si>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</si>
  <si>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</si>
  <si>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</si>
  <si>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</si>
  <si>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</si>
  <si>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</si>
  <si>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</si>
  <si>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</si>
  <si>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</si>
  <si>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</si>
  <si>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</si>
  <si>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</si>
  <si>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</si>
  <si>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</si>
  <si>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</si>
  <si>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</si>
  <si>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</si>
  <si>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</si>
  <si>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</si>
  <si>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</si>
  <si>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</si>
  <si>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</si>
  <si>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</si>
  <si>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</si>
  <si>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</si>
  <si>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</si>
  <si>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</si>
  <si>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</si>
  <si>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</si>
  <si>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</si>
  <si>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</si>
  <si>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</si>
  <si>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</si>
  <si>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</si>
  <si>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</si>
  <si>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</si>
  <si>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</si>
  <si>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</si>
  <si>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</si>
  <si>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</si>
  <si>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</si>
  <si>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</si>
  <si>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</si>
  <si>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</si>
  <si>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</si>
  <si>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</si>
  <si>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</si>
  <si>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</si>
  <si>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</si>
  <si>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</si>
  <si>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</si>
  <si>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</si>
  <si>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</si>
  <si>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</si>
  <si>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</si>
  <si>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</si>
  <si>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</si>
  <si>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</si>
  <si>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</si>
  <si>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</si>
  <si>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</si>
  <si>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</si>
  <si>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</si>
  <si>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</si>
  <si>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</si>
  <si>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</si>
  <si>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</si>
  <si>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</si>
  <si>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</si>
  <si>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</si>
  <si>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</si>
  <si>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</si>
  <si>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</si>
  <si>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</si>
  <si>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</si>
  <si>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</si>
  <si>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</si>
  <si>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</si>
  <si>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</si>
  <si>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</si>
  <si>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</si>
  <si>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</si>
  <si>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</si>
  <si>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</si>
  <si>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</si>
  <si>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</si>
  <si>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</si>
  <si>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</si>
  <si>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</si>
  <si>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</si>
  <si>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</si>
  <si>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</si>
  <si>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</si>
  <si>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</si>
  <si>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</si>
  <si>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</si>
  <si>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</si>
  <si>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</si>
  <si>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</si>
  <si>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</si>
  <si>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</si>
  <si>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</si>
  <si>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</si>
  <si>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</si>
  <si>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</si>
  <si>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</si>
  <si>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</si>
  <si>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</si>
  <si>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</si>
  <si>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</si>
  <si>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</si>
  <si>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</si>
  <si>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</si>
  <si>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</si>
  <si>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</si>
  <si>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</si>
  <si>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</si>
  <si>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</si>
  <si>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</si>
  <si>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</si>
  <si>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</si>
  <si>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</si>
  <si>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</si>
  <si>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</si>
  <si>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</si>
  <si>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</si>
  <si>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</si>
  <si>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</si>
  <si>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</si>
  <si>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</si>
  <si>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</si>
  <si>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</si>
  <si>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</si>
  <si>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</si>
  <si>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</si>
  <si>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</si>
  <si>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</si>
  <si>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</si>
  <si>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</si>
  <si>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</si>
  <si>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</si>
  <si>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</si>
  <si>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</si>
  <si>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</si>
  <si>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</si>
  <si>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</si>
  <si>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</si>
  <si>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</si>
  <si>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</si>
  <si>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</si>
  <si>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</si>
  <si>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</si>
  <si>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</si>
  <si>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</si>
  <si>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</si>
  <si>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</si>
  <si>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</si>
  <si>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</si>
  <si>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</si>
  <si>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</si>
  <si>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</si>
  <si>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</si>
  <si>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</si>
  <si>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</si>
  <si>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</si>
  <si>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</si>
  <si>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</si>
  <si>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</si>
  <si>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</si>
  <si>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</si>
  <si>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</si>
  <si>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</si>
  <si>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</si>
  <si>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</si>
  <si>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</si>
  <si>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</si>
  <si>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</si>
  <si>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</si>
  <si>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</si>
  <si>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</si>
  <si>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</si>
  <si>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</si>
  <si>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</si>
  <si>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</si>
  <si>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</si>
  <si>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</si>
  <si>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</si>
  <si>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</si>
  <si>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</si>
  <si>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</si>
  <si>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</si>
  <si>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</si>
  <si>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</si>
  <si>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</si>
  <si>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</si>
  <si>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</si>
  <si>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</si>
  <si>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</si>
  <si>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</si>
  <si>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</si>
  <si>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</si>
  <si>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</si>
  <si>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</si>
  <si>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</si>
  <si>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</si>
  <si>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</si>
  <si>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</si>
  <si>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</si>
  <si>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</si>
  <si>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</si>
  <si>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</si>
  <si>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</si>
  <si>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</si>
  <si>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</si>
  <si>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</si>
  <si>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</si>
  <si>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</si>
  <si>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</si>
  <si>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</si>
  <si>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</si>
  <si>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</si>
  <si>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</si>
  <si>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</si>
  <si>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</si>
  <si>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</si>
  <si>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</si>
  <si>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</si>
  <si>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</si>
  <si>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</si>
  <si>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</si>
  <si>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</si>
  <si>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</si>
  <si>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</si>
  <si>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</si>
  <si>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</si>
  <si>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</si>
  <si>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</si>
  <si>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</si>
  <si>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</si>
  <si>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</si>
  <si>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</si>
  <si>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</si>
  <si>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</si>
  <si>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</si>
  <si>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</si>
  <si>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</si>
  <si>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</si>
  <si>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</si>
  <si>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</si>
  <si>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</si>
  <si>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</si>
  <si>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</si>
  <si>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</si>
  <si>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</si>
  <si>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</si>
  <si>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</si>
  <si>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</si>
  <si>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</si>
  <si>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</si>
  <si>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</si>
  <si>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</si>
  <si>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</si>
  <si>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</si>
  <si>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</si>
  <si>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</si>
  <si>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</si>
  <si>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</si>
  <si>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</si>
  <si>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</si>
  <si>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</si>
  <si>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</si>
  <si>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</si>
  <si>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</si>
  <si>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</si>
  <si>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</si>
  <si>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</si>
  <si>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</si>
  <si>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</si>
  <si>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</si>
  <si>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</si>
  <si>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</si>
  <si>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</si>
  <si>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</si>
  <si>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</si>
  <si>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</si>
  <si>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</si>
  <si>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</si>
  <si>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</si>
  <si>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</si>
  <si>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</si>
  <si>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</si>
  <si>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</si>
  <si>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</si>
  <si>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</si>
  <si>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</si>
  <si>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</si>
  <si>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</si>
  <si>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</si>
  <si>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</si>
  <si>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</si>
  <si>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</si>
  <si>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</si>
  <si>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</si>
  <si>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</si>
  <si>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</si>
  <si>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</si>
  <si>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</si>
  <si>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</si>
  <si>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</si>
  <si>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</si>
  <si>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</si>
  <si>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</si>
  <si>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</si>
  <si>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</si>
  <si>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</si>
  <si>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</si>
  <si>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</si>
  <si>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</si>
  <si>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</si>
  <si>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</si>
  <si>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</si>
  <si>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</si>
  <si>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</si>
  <si>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</si>
  <si>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</si>
  <si>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</si>
  <si>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</si>
  <si>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</si>
  <si>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</si>
  <si>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</si>
  <si>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</si>
  <si>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</si>
  <si>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</si>
  <si>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</si>
  <si>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</si>
  <si>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</si>
  <si>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</si>
  <si>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</si>
  <si>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</si>
  <si>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</si>
  <si>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</si>
  <si>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</si>
  <si>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</si>
  <si>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</si>
  <si>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</si>
  <si>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</si>
  <si>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</si>
  <si>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</si>
  <si>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</si>
  <si>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</si>
  <si>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</si>
  <si>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</si>
  <si>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</si>
  <si>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</si>
  <si>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</si>
  <si>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</si>
  <si>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</si>
  <si>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</si>
  <si>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</si>
  <si>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</si>
  <si>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</si>
  <si>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</si>
  <si>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</si>
  <si>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</si>
  <si>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</si>
  <si>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</si>
  <si>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</si>
  <si>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</si>
  <si>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</si>
  <si>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</si>
  <si>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</si>
  <si>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</si>
  <si>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</si>
  <si>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</si>
  <si>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</si>
  <si>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</si>
  <si>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</si>
  <si>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</si>
  <si>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</si>
  <si>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</si>
  <si>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</si>
  <si>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</si>
  <si>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</si>
  <si>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</si>
  <si>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</si>
  <si>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</si>
  <si>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</si>
  <si>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</si>
  <si>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</si>
  <si>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</si>
  <si>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</si>
  <si>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</si>
  <si>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</si>
  <si>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</si>
  <si>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</si>
  <si>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</si>
  <si>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</si>
  <si>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</si>
  <si>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</si>
  <si>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</si>
  <si>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</si>
  <si>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</si>
  <si>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</si>
  <si>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</si>
  <si>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</si>
  <si>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</si>
  <si>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</si>
  <si>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</si>
  <si>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</si>
  <si>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</si>
  <si>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</si>
  <si>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</si>
  <si>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</si>
  <si>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</si>
  <si>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</si>
  <si>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</si>
  <si>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</si>
  <si>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</si>
  <si>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</si>
  <si>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</si>
  <si>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</si>
  <si>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</si>
  <si>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</si>
  <si>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</si>
  <si>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</si>
  <si>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</si>
  <si>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</si>
  <si>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</si>
  <si>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</si>
  <si>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</si>
  <si>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</si>
  <si>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</si>
  <si>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</si>
  <si>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</si>
  <si>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</si>
  <si>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</si>
  <si>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</si>
  <si>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</si>
  <si>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</si>
  <si>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</si>
  <si>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</si>
  <si>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</si>
  <si>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</si>
  <si>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</si>
  <si>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</si>
  <si>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</si>
  <si>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</si>
  <si>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</si>
  <si>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</si>
  <si>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</si>
  <si>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</si>
  <si>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</si>
  <si>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</si>
  <si>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</si>
  <si>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</si>
  <si>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</si>
  <si>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</si>
  <si>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</si>
  <si>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</si>
  <si>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</si>
  <si>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</si>
  <si>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</si>
  <si>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</si>
  <si>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</si>
  <si>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</si>
  <si>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</si>
  <si>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</si>
  <si>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</si>
  <si>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</si>
  <si>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</si>
  <si>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</si>
  <si>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</si>
  <si>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</si>
  <si>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</si>
  <si>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</si>
  <si>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</si>
  <si>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</si>
  <si>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</si>
  <si>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</si>
  <si>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</si>
  <si>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</si>
  <si>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</si>
  <si>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</si>
  <si>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</si>
  <si>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</si>
  <si>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</si>
  <si>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</si>
  <si>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</si>
  <si>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</si>
  <si>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</si>
  <si>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</si>
  <si>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</si>
  <si>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</si>
  <si>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</si>
  <si>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</si>
  <si>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</si>
  <si>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</si>
  <si>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</si>
  <si>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</si>
  <si>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</si>
  <si>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</si>
  <si>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</si>
  <si>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</si>
  <si>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</si>
  <si>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</si>
  <si>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</si>
  <si>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</si>
  <si>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</si>
  <si>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</si>
  <si>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</si>
  <si>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</si>
  <si>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</si>
  <si>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</si>
  <si>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</si>
  <si>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</si>
  <si>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</si>
  <si>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</si>
  <si>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</si>
  <si>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</si>
  <si>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</si>
  <si>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</si>
  <si>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</si>
  <si>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</si>
  <si>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</si>
  <si>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</si>
  <si>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</si>
  <si>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</si>
  <si>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</si>
  <si>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</si>
  <si>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</si>
  <si>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</si>
  <si>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</si>
  <si>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</si>
  <si>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</si>
  <si>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</si>
  <si>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</si>
  <si>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</si>
  <si>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</si>
  <si>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</si>
  <si>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</si>
  <si>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</si>
  <si>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</si>
  <si>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</si>
  <si>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</si>
  <si>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</si>
  <si>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</si>
  <si>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</si>
  <si>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</si>
  <si>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</si>
  <si>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</si>
  <si>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</si>
  <si>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</si>
  <si>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</si>
  <si>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</si>
  <si>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</si>
  <si>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</si>
  <si>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</si>
  <si>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</si>
  <si>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</si>
  <si>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</si>
  <si>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</si>
  <si>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</si>
  <si>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</si>
  <si>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</si>
  <si>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</si>
  <si>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</si>
  <si>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</si>
  <si>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</si>
  <si>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</si>
  <si>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</si>
  <si>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</si>
  <si>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</si>
  <si>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</si>
  <si>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</si>
  <si>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</si>
  <si>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</si>
  <si>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</si>
  <si>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</si>
  <si>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</si>
  <si>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</si>
  <si>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</si>
  <si>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</si>
  <si>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</si>
  <si>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</si>
  <si>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</si>
  <si>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</si>
  <si>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</si>
  <si>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</si>
  <si>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</si>
  <si>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</si>
  <si>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</si>
  <si>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</si>
  <si>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</si>
  <si>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</si>
  <si>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</si>
  <si>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</si>
  <si>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</si>
  <si>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</si>
  <si>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</si>
  <si>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</si>
  <si>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</si>
  <si>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</si>
  <si>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</si>
  <si>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</si>
  <si>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</si>
  <si>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</si>
  <si>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</si>
  <si>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</si>
  <si>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</si>
  <si>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</si>
  <si>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</si>
  <si>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</si>
  <si>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</si>
  <si>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</si>
  <si>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</si>
  <si>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</si>
  <si>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</si>
  <si>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</si>
  <si>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</si>
  <si>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</si>
  <si>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</si>
  <si>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</si>
  <si>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</si>
  <si>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</si>
  <si>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</si>
  <si>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26-062-0000-61</t>
  </si>
  <si>
    <t>McDonough</t>
  </si>
  <si>
    <t>West Central Illinois Speical Education Co-Op</t>
  </si>
  <si>
    <t>130 S. LaFayette, Suite 201</t>
  </si>
  <si>
    <t>lwiley@wcisec.org</t>
  </si>
  <si>
    <t>Leyona Wiley</t>
  </si>
  <si>
    <t>(309) 837-3911</t>
  </si>
  <si>
    <t>tcustis@gorenzcpa.com</t>
  </si>
  <si>
    <t>Tim C. Custis, CPA</t>
  </si>
  <si>
    <t>x</t>
  </si>
  <si>
    <t>The accompanying Schedule of Expenditures of Federal Awards includes the federal grant activity of West Central Illinois Special Education Co-Op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</si>
  <si>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Part B, Flow Through - Canton Union No. 66</t>
  </si>
  <si>
    <r>
      <t xml:space="preserve">The following amounts were expended in the form of non-cash assistance by West Central Illinois Special Education Co-Op and </t>
    </r>
    <r>
      <rPr>
        <b/>
        <sz val="9"/>
        <rFont val="Calibri"/>
        <family val="2"/>
        <scheme val="minor"/>
      </rPr>
      <t>should be</t>
    </r>
    <r>
      <rPr>
        <sz val="9"/>
        <rFont val="Calibri"/>
        <family val="2"/>
        <scheme val="minor"/>
      </rPr>
      <t xml:space="preserve"> included in the Schedule of Expenditures of Federal Awards:</t>
    </r>
  </si>
  <si>
    <t>84.173 &amp; 84.027</t>
  </si>
  <si>
    <t>IDEA Cluster</t>
  </si>
  <si>
    <t>AU-C 265 has prescribed definitions for significant deficiencies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</si>
  <si>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</si>
  <si>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</si>
  <si>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</si>
  <si>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The Co-op is currently reviewing procedures and attempting to separate accounting duties.  The Director is becoming involved with providing additional oversight for checks on journal entries.</t>
  </si>
  <si>
    <t>2018-001</t>
  </si>
  <si>
    <t xml:space="preserve">Lack of segregation of duties </t>
  </si>
  <si>
    <t>2018-002</t>
  </si>
  <si>
    <t>2018-003</t>
  </si>
  <si>
    <t>Expenditures claimed &amp; not approved in budget</t>
  </si>
  <si>
    <t>Resolved</t>
  </si>
  <si>
    <t>Unresolved - See Finding 2019-001</t>
  </si>
  <si>
    <t>Benefits claimed for ineligible employees</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</si>
  <si>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</si>
  <si>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</si>
  <si>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</si>
  <si>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</si>
  <si>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</si>
  <si>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</si>
  <si>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</si>
  <si>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</si>
  <si>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</si>
  <si>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</si>
  <si>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Leyona Wiley, Director</t>
  </si>
  <si>
    <t>The Co-op is current reviewing procedures and attempting to separate accounting</t>
  </si>
  <si>
    <t>duties. The Director is becoming involved with providing additional oversight for checks</t>
  </si>
  <si>
    <t>on journal entries.</t>
  </si>
  <si>
    <t>June 30, 2020</t>
  </si>
  <si>
    <t>IDEA - Cluster 2019</t>
  </si>
  <si>
    <t>19-4620-00</t>
  </si>
  <si>
    <t>Illinois State Board of Education</t>
  </si>
  <si>
    <t xml:space="preserve">The Code of Federal Regulations (CFR) Title 2, part 200.313(d)(1) states that non-Federal entities must maintain property records that include a description of property, serial number, acquisition date, and use and condition of the property. </t>
  </si>
  <si>
    <t xml:space="preserve">The Co-op did not maintain a complete and thorough record of equipment purchased with money from the IDEA Program. </t>
  </si>
  <si>
    <t xml:space="preserve">None. </t>
  </si>
  <si>
    <t xml:space="preserve">The Co-op maintains a record of equipment that has been purchased with federal revenue, however, required information such as acquisition date and property descriptions are often absent. </t>
  </si>
  <si>
    <t xml:space="preserve">Procedures are not in place to verify or review equipment and property listings to ensure a complete and accurate record is maintained. </t>
  </si>
  <si>
    <t xml:space="preserve">It is recommended that the Co-op maintain a detailed equipment and property listing, which should then be reviewed at least annually for accuracy and completeness. </t>
  </si>
  <si>
    <t xml:space="preserve">Procedures will be implemented to ensure an accurate and complete listing of all property and equipment purchased with IDEA funds is maintained throughout the year. </t>
  </si>
  <si>
    <t>For ISBE Review</t>
  </si>
  <si>
    <t xml:space="preserve">Date:   </t>
  </si>
  <si>
    <t>Resolution Criteria Code Number</t>
  </si>
  <si>
    <t xml:space="preserve">Initials: </t>
  </si>
  <si>
    <t>Disposition of Questioned Costs Code Letter</t>
  </si>
  <si>
    <t xml:space="preserve">The Co-op will maintain a detailed equipment and property listing, which will then be reviewed at least annually for accuracy and completeness. </t>
  </si>
  <si>
    <t xml:space="preserve">and real property used in the IDEA Program. </t>
  </si>
  <si>
    <t>The Co-op is currently reviewing procedures for acquiring and recording equipment</t>
  </si>
  <si>
    <t>West Central Illinois Special Education Cooperative</t>
  </si>
  <si>
    <t xml:space="preserve">                                Year Ended June 30, 2019                               </t>
  </si>
  <si>
    <t xml:space="preserve">  Expenditures/Disbursements  </t>
  </si>
  <si>
    <t>ISBE</t>
  </si>
  <si>
    <t xml:space="preserve">          Receipts/Revenues          </t>
  </si>
  <si>
    <t>Project</t>
  </si>
  <si>
    <t>Prior to</t>
  </si>
  <si>
    <t>7/01/18</t>
  </si>
  <si>
    <t xml:space="preserve">Prior to </t>
  </si>
  <si>
    <t>Final</t>
  </si>
  <si>
    <t>Federal Grantor/Pass-Through Grantor, Subrecipients,</t>
  </si>
  <si>
    <t>Number</t>
  </si>
  <si>
    <t>6/30/19</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</si>
  <si>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</si>
  <si>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</si>
  <si>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</si>
  <si>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</si>
  <si>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</si>
  <si>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</si>
  <si>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</si>
  <si>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</si>
  <si>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</si>
  <si>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</si>
  <si>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U.S. Department of Agriculture - </t>
  </si>
  <si>
    <t xml:space="preserve">   Pass-through program from</t>
  </si>
  <si>
    <t xml:space="preserve">   Illinois State Board of Education</t>
  </si>
  <si>
    <t>18-4210-00</t>
  </si>
  <si>
    <t>19-4210-00</t>
  </si>
  <si>
    <t>Total CFDA 10.555</t>
  </si>
  <si>
    <t>National School Breakfast Program</t>
  </si>
  <si>
    <t>18-4220-00</t>
  </si>
  <si>
    <t>19-4220-00</t>
  </si>
  <si>
    <t>Total CFDA 10.553</t>
  </si>
  <si>
    <t>Total U.S. Department of Agriculture - Pass-through programs</t>
  </si>
  <si>
    <t xml:space="preserve">U.S. Department of Education - </t>
  </si>
  <si>
    <t>IDEA Part B, Preschool Flow Through</t>
  </si>
  <si>
    <t>18-4600-00</t>
  </si>
  <si>
    <t>(M)</t>
  </si>
  <si>
    <t>19-4600-00</t>
  </si>
  <si>
    <t>Total CFDA 84.173</t>
  </si>
  <si>
    <t xml:space="preserve">IDEA Part B, Flow Through </t>
  </si>
  <si>
    <t>18-4620-00</t>
  </si>
  <si>
    <t xml:space="preserve">  Revenue - 2200</t>
  </si>
  <si>
    <t>Canton Union No. 66</t>
  </si>
  <si>
    <t>Navoo-Colusa CUSD 325</t>
  </si>
  <si>
    <t>Macomb CUSD 185</t>
  </si>
  <si>
    <t>Total CFDA 84.027</t>
  </si>
  <si>
    <t xml:space="preserve">  Pass through program from</t>
  </si>
  <si>
    <t xml:space="preserve">   Illinois Department of Human Services</t>
  </si>
  <si>
    <t xml:space="preserve">  </t>
  </si>
  <si>
    <t>STEP - Performance Based</t>
  </si>
  <si>
    <t>46CWF00038</t>
  </si>
  <si>
    <t>46CXF00038</t>
  </si>
  <si>
    <t>Total CFDA 84.126</t>
  </si>
  <si>
    <t>Total U.S. Department of Education - Pass-through programs</t>
  </si>
  <si>
    <t>U.S. Department of Health and Human Services</t>
  </si>
  <si>
    <t>Medicaid Infrastructure Grant</t>
  </si>
  <si>
    <t>12-4998-00</t>
  </si>
  <si>
    <t>13-4998-00</t>
  </si>
  <si>
    <t xml:space="preserve">   Illinois Department of Healthcare and Family Services</t>
  </si>
  <si>
    <t>Medicaid Administrative Outreach</t>
  </si>
  <si>
    <t>18-4991-00</t>
  </si>
  <si>
    <t>19-4991-00</t>
  </si>
  <si>
    <t>Total CFDA 93.778</t>
  </si>
  <si>
    <t>Total U.S. Department of Health and Human Services - Pass-through programs</t>
  </si>
  <si>
    <t>Total Federal Awards Passed Through Illinois State Board of Education</t>
  </si>
  <si>
    <t>Total Federal Awards Passed Through Other Entities</t>
  </si>
  <si>
    <t>Total Federal Awards</t>
  </si>
  <si>
    <t>(M) Indicates Major Federal Financial Assistance Program.</t>
  </si>
  <si>
    <t>(A) Project not complete as of June 30, 2019.</t>
  </si>
  <si>
    <t>(B) Carryover funds per ISBE</t>
  </si>
  <si>
    <t>Of the federal expenditures presented in the schedule, West Central Illinois Special Education Co-Op provided federal awards to subrecipients as follows:</t>
  </si>
  <si>
    <t>Note 6: Matching Expenditures</t>
  </si>
  <si>
    <t>Federal awards received are reflected in the Cooperative's financial statements within the Educational Fund as receipts from</t>
  </si>
  <si>
    <t>federal sources. Amounts reported in the accompanying Schedule of Federal Awards agree with the amounts reported in the</t>
  </si>
  <si>
    <t>Education.</t>
  </si>
  <si>
    <t>STEP (CFDA #84.126) (Contract #46CXF00038) required matching expenditures of $70,789</t>
  </si>
  <si>
    <t>Program Financial Report for programs which have filed final reports as of June 30, 2019, with the Illinois State Board of</t>
  </si>
  <si>
    <t>Unmodified</t>
  </si>
  <si>
    <t>GORENZ AND ASSOCIATES, LTD.</t>
  </si>
  <si>
    <t>10-2100-300</t>
  </si>
  <si>
    <t>Advocate Hospital</t>
  </si>
  <si>
    <t>Germantown Hills SD No. 69</t>
  </si>
  <si>
    <t>10-2300-300</t>
  </si>
  <si>
    <t>ED - Pupil - Purchased Services</t>
  </si>
  <si>
    <t>ED - General Admin - Purchased Services</t>
  </si>
  <si>
    <t>Lewistown #97 &amp; Macomb CUSD #185</t>
  </si>
  <si>
    <t>Astoria #1, Bushnell #170, (see below)</t>
  </si>
  <si>
    <t>Illini West HSD #307, Canton CUSD #66, Carthage ESD #317, &amp; West Prairie #103</t>
  </si>
  <si>
    <t>Page 5, Line 12 - Flex Checking Account</t>
  </si>
  <si>
    <t>Page 16, Line 73 - Postage</t>
  </si>
  <si>
    <t>Macomb, IL</t>
  </si>
  <si>
    <t>The Co-op relies on management oversight and budgetary controls to help mitigate the effects of a limited number of accounting personnel. The Co-op will review the internal control system annually and when the benefits of hiring additional personnel can be realized on a cost-effective basis, the Co-op will pursue this option.</t>
  </si>
  <si>
    <t>Inadequate segregation of duties increases the risk of misstatements in the financial statements.</t>
  </si>
  <si>
    <t>Noncompliance with the federal award program's standards for documentation of personnel expenses could occur and not be detected and corrected in a timely manner.</t>
  </si>
  <si>
    <t>Procedures were not in place that required all employees paid with federal funds (Special Education Cluster) to report the activities and programs they worked on.</t>
  </si>
  <si>
    <t>Employees paid with federal awards should be required to provide reports that detail their time and effort by activity spent on grants and other activities.</t>
  </si>
  <si>
    <t>There is no disagreement with this finding and procedures will be implemented to ensure time and effort is documented for federal awards.</t>
  </si>
  <si>
    <t>The Code of Federal Regulations (CFR) Title 2, part 200.430 cost principles, compensation - personal services states costs of compensation are allowable to the extent that they satisfy specific requirements one of which is Standards for Documentation of Personnel Expenses. These standards require that charges to federal awards for salaries and wages must be based on records that accurately reflect the work performed.</t>
  </si>
  <si>
    <t>U.S. Department of Education</t>
  </si>
  <si>
    <t>Not Required.</t>
  </si>
  <si>
    <t>Procedures will be implemented to ensure time and effort reporting is maintained for federal award programs.</t>
  </si>
  <si>
    <t>The Co-op had several employees paid with federal funds from the Special Education Cluster (IDEA) programs. The Co-op did not require employees to submit time and effort reprots detailing the activities and programs the employees worked on. Upon further review, it was determined that the compensation charged to the Special Education Cluster (IDEA) was allowable.</t>
  </si>
  <si>
    <t>2019-003</t>
  </si>
  <si>
    <t>Note 6: Relationship to Basic Financial Statements and Program Financial Reports</t>
  </si>
  <si>
    <t>The Co-op did not have an official written process in place to maintain time and effort reports for the Special Education Cluster (IDEA).</t>
  </si>
  <si>
    <t>2019-004</t>
  </si>
  <si>
    <t>The Illinois Compiled Statutes, Chapter 105, Section 5, Paragraph 17-1, requires that a joint agreement shall adopt an annual budget by September 1 of each fiscal year.</t>
  </si>
  <si>
    <t>The joint agreement filed their annual budget on September 13, 2018, and exceeded the deadline to adopt their annual budget.</t>
  </si>
  <si>
    <t>The management of a joint agreement has a legal obligation to the State Board of Education of Illinois to file their annual budget by September 1.</t>
  </si>
  <si>
    <t>Untimely adoption of the budget prevents proper planning for the joint agreement's financials and is noncompliant with Illinois State law.</t>
  </si>
  <si>
    <t>Management should be mindful and current on the Illinois Compiled Statutes in order to be in compliance in future fiscal years.</t>
  </si>
  <si>
    <t xml:space="preserve">The Co-op is currently reviewing procedures and plans to adopt their budget in a timely manner in the future.  </t>
  </si>
  <si>
    <t>The Co-Op is currently reviewing procedures and plans to adopt their budget in a timely</t>
  </si>
  <si>
    <t>manner in the future.</t>
  </si>
  <si>
    <t>The Co-Op's management will meet regarding Illinois Compiled Statutes, review their procedures regarding budget planning and implimentation, and finally adopt the budget in a timely manner. The Co-Op will work to remain updated on future changes in the statutes.</t>
  </si>
  <si>
    <t>September 1, 2020</t>
  </si>
  <si>
    <t>Due to staff turnover it was believed that the deadline date for the adoption of the budget was the same as the deadline for their member school districts.</t>
  </si>
  <si>
    <t>Noncompliance with the federal award program's maintenance of property records has occurred.</t>
  </si>
  <si>
    <t>The Co-op has several employees paid with federal funds from the Special Education Cluster (IDEA). The Co-op did not require employees to submit time and effort reports detailing the activities of the programs the employees worked on. Upon further review, it was determined that the compensation charged to the Special Education Cluster (IDEA) was allowable.</t>
  </si>
  <si>
    <t xml:space="preserve">  Local Match - See Note 2</t>
  </si>
  <si>
    <t>STEP Performance Based Local Match</t>
  </si>
  <si>
    <t>Canton #66, Carthage ESD #137, Dallas Elem, Fulton County No. 3, Hamilton, Illini West HSD 307, LaHarpe, Lewistown CUSD 97, Macomb CUSD 185, Navoo-Colusa 325</t>
  </si>
  <si>
    <t>Schuyler-Industry CUSD 5, Southeastern CUSD 337, Spoon River Valley, VIT, Warsaw, West Central CUSD 235, &amp; West Prairie CUSD 103</t>
  </si>
  <si>
    <t>Part A - 14 - See Finding 2019-002, Part C - 20. - See Findings 2019-001 and 2019-003 and 2019-004</t>
  </si>
  <si>
    <t>5. Project No.:</t>
  </si>
  <si>
    <t xml:space="preserve">All Co-Op accounting and financial records are maintained by two individuals, with one individual having the ability to make journal entries without supervision.  </t>
  </si>
  <si>
    <t>see PDF version</t>
  </si>
  <si>
    <t>West Central IL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</si>
</sst>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_);_(* \(#,##0\);_(* &quot;-&quot;??_);_(@_)"/>
    <numFmt numFmtId="183" formatCode="_(* #,##0_);_(* \(#,##0\);_(* &quot; &quot;_);_(@_)"/>
    <numFmt numFmtId="184" formatCode="_(* #,##0.0_);_(* \(#,##0.0\);_(* &quot; &quot;_);_(@_)"/>
    <numFmt numFmtId="185" formatCode="_(* #,##0_);_(* \(#,##0\);_(* &quot;0&quot;_);_(@_)"/>
    <numFmt numFmtId="186" formatCode="0.000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0"/>
      <name val="Garamond"/>
      <family val="1"/>
    </font>
    <font>
      <b/>
      <u/>
      <sz val="10"/>
      <name val="Garamond"/>
      <family val="1"/>
    </font>
    <font>
      <sz val="10"/>
      <name val="Garamond"/>
      <family val="1"/>
    </font>
    <font>
      <u/>
      <sz val="10"/>
      <name val="Garamond"/>
      <family val="1"/>
    </font>
    <font>
      <u val="singleAccounting"/>
      <sz val="10"/>
      <name val="Garamond"/>
      <family val="1"/>
    </font>
    <font>
      <u val="doubleAccounting"/>
      <sz val="10"/>
      <name val="Garamond"/>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right/>
      <top style="thin">
        <color indexed="23"/>
      </top>
      <bottom style="thin">
        <color indexed="23"/>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42" fillId="0" borderId="0"/>
    <xf numFmtId="43" fontId="45" fillId="0" borderId="0" applyFont="0" applyFill="0" applyBorder="0" applyAlignment="0" applyProtection="0"/>
  </cellStyleXfs>
  <cellXfs count="27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14" fontId="10" fillId="0" borderId="0" xfId="3" quotePrefix="1" applyNumberFormat="1" applyAlignment="1" applyProtection="1">
      <alignment horizontal="left" indent="2"/>
      <protection locked="0"/>
    </xf>
    <xf numFmtId="0" fontId="54" fillId="0" borderId="0" xfId="3" applyFont="1" applyAlignment="1" applyProtection="1">
      <alignment horizontal="center" vertical="center"/>
    </xf>
    <xf numFmtId="0" fontId="54" fillId="0" borderId="0" xfId="3" applyFont="1" applyAlignment="1" applyProtection="1">
      <alignment horizontal="center"/>
    </xf>
    <xf numFmtId="0" fontId="62" fillId="0" borderId="0" xfId="3" applyFont="1" applyBorder="1" applyAlignment="1" applyProtection="1">
      <alignment horizontal="left" vertical="top" wrapText="1"/>
    </xf>
    <xf numFmtId="0" fontId="64" fillId="27" borderId="143" xfId="3" applyFont="1" applyFill="1" applyBorder="1" applyProtection="1"/>
    <xf numFmtId="0" fontId="64" fillId="27" borderId="144" xfId="3" applyFont="1" applyFill="1" applyBorder="1" applyProtection="1"/>
    <xf numFmtId="0" fontId="57" fillId="27" borderId="144" xfId="3" applyFont="1" applyFill="1" applyBorder="1" applyProtection="1"/>
    <xf numFmtId="0" fontId="57" fillId="27" borderId="144" xfId="3" applyFont="1" applyFill="1" applyBorder="1" applyAlignment="1" applyProtection="1">
      <alignment horizontal="center"/>
    </xf>
    <xf numFmtId="0" fontId="57" fillId="27" borderId="145" xfId="3" applyFont="1" applyFill="1" applyBorder="1" applyProtection="1"/>
    <xf numFmtId="0" fontId="57" fillId="0" borderId="5" xfId="3" applyFont="1" applyFill="1" applyBorder="1" applyProtection="1"/>
    <xf numFmtId="0" fontId="62" fillId="27" borderId="5" xfId="3" applyFont="1" applyFill="1" applyBorder="1" applyProtection="1"/>
    <xf numFmtId="0" fontId="62" fillId="27" borderId="165" xfId="3" applyFont="1" applyFill="1" applyBorder="1" applyProtection="1"/>
    <xf numFmtId="14" fontId="57" fillId="27" borderId="74" xfId="3" applyNumberFormat="1" applyFont="1" applyFill="1" applyBorder="1" applyAlignment="1" applyProtection="1">
      <alignment horizontal="center"/>
    </xf>
    <xf numFmtId="14" fontId="57" fillId="27" borderId="0" xfId="3" applyNumberFormat="1" applyFont="1" applyFill="1" applyBorder="1" applyProtection="1"/>
    <xf numFmtId="0" fontId="62" fillId="27" borderId="0" xfId="3" applyFont="1" applyFill="1" applyBorder="1" applyProtection="1"/>
    <xf numFmtId="0" fontId="57" fillId="27" borderId="0" xfId="3" applyFont="1" applyFill="1" applyBorder="1" applyAlignment="1" applyProtection="1">
      <alignment horizontal="center"/>
    </xf>
    <xf numFmtId="0" fontId="57" fillId="27" borderId="0" xfId="3" applyFont="1" applyFill="1" applyBorder="1" applyProtection="1"/>
    <xf numFmtId="0" fontId="57" fillId="27" borderId="74" xfId="3" applyFont="1" applyFill="1" applyBorder="1" applyAlignment="1" applyProtection="1">
      <alignment horizontal="center"/>
    </xf>
    <xf numFmtId="0" fontId="57" fillId="27" borderId="40" xfId="3" applyFont="1" applyFill="1" applyBorder="1" applyProtection="1"/>
    <xf numFmtId="0" fontId="57" fillId="27" borderId="50" xfId="3" applyFont="1" applyFill="1" applyBorder="1" applyProtection="1"/>
    <xf numFmtId="0" fontId="57" fillId="27" borderId="9" xfId="3" applyFont="1" applyFill="1" applyBorder="1" applyProtection="1"/>
    <xf numFmtId="0" fontId="57" fillId="27" borderId="9" xfId="3" applyFont="1" applyFill="1" applyBorder="1" applyAlignment="1" applyProtection="1">
      <alignment horizontal="center"/>
    </xf>
    <xf numFmtId="0" fontId="57" fillId="27" borderId="59" xfId="3" applyFont="1" applyFill="1" applyBorder="1" applyProtection="1"/>
    <xf numFmtId="37" fontId="45" fillId="0" borderId="0" xfId="19" applyFont="1" applyAlignment="1">
      <alignment vertical="center"/>
    </xf>
    <xf numFmtId="37" fontId="142" fillId="0" borderId="0" xfId="19" applyFont="1" applyAlignment="1">
      <alignment vertical="center"/>
    </xf>
    <xf numFmtId="37" fontId="145" fillId="0" borderId="0" xfId="19" applyFont="1" applyBorder="1" applyAlignment="1">
      <alignment horizontal="centerContinuous"/>
    </xf>
    <xf numFmtId="37" fontId="145" fillId="0" borderId="0" xfId="19" applyFont="1" applyFill="1" applyBorder="1" applyAlignment="1">
      <alignment horizontal="left"/>
    </xf>
    <xf numFmtId="37" fontId="145" fillId="0" borderId="0" xfId="19" applyFont="1" applyBorder="1" applyAlignment="1">
      <alignment horizontal="left"/>
    </xf>
    <xf numFmtId="37" fontId="145" fillId="0" borderId="0" xfId="19" applyFont="1" applyBorder="1"/>
    <xf numFmtId="37" fontId="145" fillId="0" borderId="0" xfId="19" applyFont="1" applyBorder="1" applyAlignment="1">
      <alignment horizontal="center"/>
    </xf>
    <xf numFmtId="37" fontId="145" fillId="0" borderId="0" xfId="19" applyFont="1" applyBorder="1" applyAlignment="1">
      <alignment horizontal="center" vertical="center"/>
    </xf>
    <xf numFmtId="37" fontId="145" fillId="0" borderId="0" xfId="19" applyFont="1" applyAlignment="1">
      <alignment horizontal="center" vertical="center"/>
    </xf>
    <xf numFmtId="37" fontId="145" fillId="0" borderId="0" xfId="19" applyFont="1" applyAlignment="1">
      <alignment horizontal="left" vertical="center"/>
    </xf>
    <xf numFmtId="37" fontId="145" fillId="0" borderId="0" xfId="19" applyFont="1" applyAlignment="1">
      <alignment vertical="center"/>
    </xf>
    <xf numFmtId="37" fontId="145" fillId="0" borderId="0" xfId="19" quotePrefix="1" applyFont="1" applyAlignment="1">
      <alignment horizontal="center" vertical="center"/>
    </xf>
    <xf numFmtId="37" fontId="145" fillId="0" borderId="0" xfId="19" applyFont="1" applyAlignment="1">
      <alignment horizontal="center"/>
    </xf>
    <xf numFmtId="14" fontId="145" fillId="0" borderId="0" xfId="19" quotePrefix="1" applyNumberFormat="1" applyFont="1" applyAlignment="1">
      <alignment horizontal="center" vertical="center"/>
    </xf>
    <xf numFmtId="14" fontId="145" fillId="0" borderId="0" xfId="19" applyNumberFormat="1" applyFont="1" applyAlignment="1">
      <alignment horizontal="center" vertical="center"/>
    </xf>
    <xf numFmtId="37" fontId="145" fillId="0" borderId="0" xfId="19" applyFont="1"/>
    <xf numFmtId="37" fontId="146" fillId="0" borderId="0" xfId="19" applyFont="1" applyBorder="1" applyAlignment="1">
      <alignment horizontal="left" vertical="center"/>
    </xf>
    <xf numFmtId="37" fontId="146" fillId="0" borderId="0" xfId="19" applyFont="1" applyBorder="1" applyAlignment="1">
      <alignment vertical="center"/>
    </xf>
    <xf numFmtId="37" fontId="146" fillId="0" borderId="0" xfId="19" applyNumberFormat="1" applyFont="1" applyBorder="1" applyAlignment="1" applyProtection="1">
      <alignment horizontal="center" vertical="center"/>
    </xf>
    <xf numFmtId="37" fontId="146" fillId="0" borderId="0" xfId="19" applyNumberFormat="1" applyFont="1" applyBorder="1" applyAlignment="1" applyProtection="1">
      <alignment vertical="center"/>
    </xf>
    <xf numFmtId="37" fontId="146" fillId="0" borderId="0" xfId="19" applyFont="1" applyAlignment="1">
      <alignment horizontal="left"/>
    </xf>
    <xf numFmtId="37" fontId="146" fillId="0" borderId="0" xfId="19" applyFont="1" applyAlignment="1">
      <alignment horizontal="center"/>
    </xf>
    <xf numFmtId="37" fontId="146" fillId="0" borderId="0" xfId="19" applyNumberFormat="1" applyFont="1" applyAlignment="1" applyProtection="1">
      <alignment horizontal="center"/>
    </xf>
    <xf numFmtId="37" fontId="145" fillId="0" borderId="0" xfId="19" applyNumberFormat="1" applyFont="1" applyProtection="1"/>
    <xf numFmtId="37" fontId="145" fillId="0" borderId="0" xfId="19" applyNumberFormat="1" applyFont="1" applyAlignment="1" applyProtection="1">
      <alignment horizontal="center"/>
    </xf>
    <xf numFmtId="37" fontId="143" fillId="0" borderId="0" xfId="19" applyFont="1" applyBorder="1" applyAlignment="1" applyProtection="1">
      <alignment horizontal="left"/>
      <protection locked="0"/>
    </xf>
    <xf numFmtId="37" fontId="45" fillId="0" borderId="0" xfId="19" applyFont="1" applyAlignment="1">
      <alignment horizontal="center" vertical="center"/>
    </xf>
    <xf numFmtId="37" fontId="143" fillId="0" borderId="0" xfId="19" applyFont="1" applyAlignment="1">
      <alignment horizontal="left"/>
    </xf>
    <xf numFmtId="37" fontId="143" fillId="0" borderId="0" xfId="19" applyFont="1" applyAlignment="1"/>
    <xf numFmtId="37" fontId="145" fillId="0" borderId="0" xfId="19" applyFont="1" applyBorder="1" applyAlignment="1" applyProtection="1">
      <alignment horizontal="left"/>
      <protection locked="0"/>
    </xf>
    <xf numFmtId="181" fontId="145" fillId="0" borderId="0" xfId="19" applyNumberFormat="1" applyFont="1" applyBorder="1" applyAlignment="1" applyProtection="1">
      <alignment horizontal="left"/>
      <protection locked="0"/>
    </xf>
    <xf numFmtId="3" fontId="145" fillId="0" borderId="0" xfId="19" applyNumberFormat="1" applyFont="1" applyBorder="1" applyAlignment="1" applyProtection="1">
      <alignment horizontal="right"/>
      <protection locked="0"/>
    </xf>
    <xf numFmtId="37" fontId="145" fillId="0" borderId="0" xfId="19" quotePrefix="1" applyFont="1" applyBorder="1" applyAlignment="1" applyProtection="1">
      <alignment horizontal="left"/>
      <protection locked="0"/>
    </xf>
    <xf numFmtId="182" fontId="145" fillId="0" borderId="0" xfId="20" applyNumberFormat="1" applyFont="1" applyBorder="1" applyAlignment="1" applyProtection="1">
      <alignment horizontal="right"/>
      <protection locked="0"/>
    </xf>
    <xf numFmtId="182" fontId="145" fillId="0" borderId="0" xfId="20" applyNumberFormat="1" applyFont="1"/>
    <xf numFmtId="182" fontId="145" fillId="0" borderId="0" xfId="20" applyNumberFormat="1" applyFont="1" applyAlignment="1">
      <alignment horizontal="center"/>
    </xf>
    <xf numFmtId="37" fontId="145" fillId="0" borderId="0" xfId="19" quotePrefix="1" applyFont="1" applyFill="1" applyBorder="1" applyAlignment="1" applyProtection="1">
      <alignment horizontal="left" vertical="center"/>
      <protection locked="0"/>
    </xf>
    <xf numFmtId="182" fontId="145" fillId="0" borderId="0" xfId="20" applyNumberFormat="1" applyFont="1" applyFill="1" applyBorder="1" applyAlignment="1" applyProtection="1">
      <alignment horizontal="right"/>
      <protection locked="0"/>
    </xf>
    <xf numFmtId="182" fontId="145" fillId="0" borderId="0" xfId="20" applyNumberFormat="1" applyFont="1" applyFill="1"/>
    <xf numFmtId="182" fontId="145" fillId="5" borderId="0" xfId="20" applyNumberFormat="1" applyFont="1" applyFill="1" applyBorder="1" applyAlignment="1" applyProtection="1">
      <alignment horizontal="right"/>
      <protection locked="0"/>
    </xf>
    <xf numFmtId="37" fontId="145" fillId="0" borderId="0" xfId="19" applyFont="1" applyFill="1" applyBorder="1" applyAlignment="1" applyProtection="1">
      <alignment horizontal="left"/>
      <protection locked="0"/>
    </xf>
    <xf numFmtId="181" fontId="145" fillId="0" borderId="0" xfId="19" applyNumberFormat="1" applyFont="1" applyFill="1" applyBorder="1" applyAlignment="1" applyProtection="1">
      <alignment horizontal="left"/>
      <protection locked="0"/>
    </xf>
    <xf numFmtId="3" fontId="145" fillId="0" borderId="0" xfId="19" applyNumberFormat="1" applyFont="1" applyFill="1" applyBorder="1" applyAlignment="1" applyProtection="1">
      <alignment horizontal="right"/>
      <protection locked="0"/>
    </xf>
    <xf numFmtId="182" fontId="147" fillId="0" borderId="0" xfId="20" applyNumberFormat="1" applyFont="1" applyFill="1" applyBorder="1" applyAlignment="1" applyProtection="1">
      <alignment horizontal="right"/>
      <protection locked="0"/>
    </xf>
    <xf numFmtId="181" fontId="145" fillId="0" borderId="0" xfId="19" applyNumberFormat="1" applyFont="1" applyFill="1" applyBorder="1" applyAlignment="1" applyProtection="1">
      <alignment horizontal="right"/>
      <protection locked="0"/>
    </xf>
    <xf numFmtId="184" fontId="146" fillId="0" borderId="0" xfId="20" applyNumberFormat="1" applyFont="1" applyFill="1" applyBorder="1" applyAlignment="1" applyProtection="1">
      <alignment horizontal="right"/>
      <protection locked="0"/>
    </xf>
    <xf numFmtId="182" fontId="146" fillId="0" borderId="0" xfId="20" applyNumberFormat="1" applyFont="1" applyFill="1" applyBorder="1" applyAlignment="1" applyProtection="1">
      <alignment horizontal="right"/>
      <protection locked="0"/>
    </xf>
    <xf numFmtId="182" fontId="145" fillId="0" borderId="0" xfId="20" applyNumberFormat="1" applyFont="1" applyFill="1" applyProtection="1"/>
    <xf numFmtId="182" fontId="145" fillId="0" borderId="0" xfId="20" applyNumberFormat="1" applyFont="1" applyFill="1" applyAlignment="1" applyProtection="1">
      <alignment horizontal="center"/>
    </xf>
    <xf numFmtId="182" fontId="145" fillId="0" borderId="0" xfId="20" applyNumberFormat="1" applyFont="1" applyProtection="1"/>
    <xf numFmtId="37" fontId="143" fillId="0" borderId="0" xfId="19" applyFont="1" applyBorder="1" applyAlignment="1" applyProtection="1">
      <alignment horizontal="left" vertical="center"/>
      <protection locked="0"/>
    </xf>
    <xf numFmtId="37" fontId="145" fillId="0" borderId="0" xfId="19" applyFont="1" applyBorder="1" applyAlignment="1" applyProtection="1">
      <alignment horizontal="left" vertical="center"/>
      <protection locked="0"/>
    </xf>
    <xf numFmtId="181" fontId="145" fillId="0" borderId="0" xfId="19" applyNumberFormat="1" applyFont="1" applyBorder="1" applyAlignment="1" applyProtection="1">
      <alignment horizontal="left" vertical="center"/>
      <protection locked="0"/>
    </xf>
    <xf numFmtId="3" fontId="145" fillId="0" borderId="0" xfId="19" applyNumberFormat="1" applyFont="1" applyBorder="1" applyAlignment="1" applyProtection="1">
      <alignment horizontal="right" vertical="center"/>
      <protection locked="0"/>
    </xf>
    <xf numFmtId="182" fontId="147" fillId="0" borderId="0" xfId="20" applyNumberFormat="1" applyFont="1" applyBorder="1" applyAlignment="1" applyProtection="1">
      <alignment horizontal="right" vertical="center"/>
      <protection locked="0"/>
    </xf>
    <xf numFmtId="182" fontId="147" fillId="0" borderId="0" xfId="20" applyNumberFormat="1" applyFont="1" applyFill="1" applyBorder="1" applyAlignment="1" applyProtection="1">
      <alignment horizontal="right" vertical="center"/>
      <protection locked="0"/>
    </xf>
    <xf numFmtId="182" fontId="145" fillId="0" borderId="0" xfId="20" applyNumberFormat="1" applyFont="1" applyAlignment="1" applyProtection="1">
      <alignment vertical="center"/>
    </xf>
    <xf numFmtId="182" fontId="145" fillId="0" borderId="0" xfId="20" applyNumberFormat="1" applyFont="1" applyBorder="1" applyAlignment="1" applyProtection="1">
      <alignment horizontal="right" vertical="center"/>
      <protection locked="0"/>
    </xf>
    <xf numFmtId="182" fontId="145" fillId="0" borderId="0" xfId="20" applyNumberFormat="1" applyFont="1" applyAlignment="1" applyProtection="1">
      <alignment horizontal="center"/>
    </xf>
    <xf numFmtId="37" fontId="145" fillId="0" borderId="0" xfId="19" applyFont="1" applyBorder="1" applyAlignment="1" applyProtection="1">
      <alignment horizontal="right" vertical="center"/>
      <protection locked="0"/>
    </xf>
    <xf numFmtId="37" fontId="145" fillId="0" borderId="0" xfId="19" quotePrefix="1" applyFont="1" applyFill="1" applyBorder="1" applyAlignment="1" applyProtection="1">
      <alignment horizontal="left"/>
      <protection locked="0"/>
    </xf>
    <xf numFmtId="182" fontId="145" fillId="0" borderId="0" xfId="20" applyNumberFormat="1" applyFont="1" applyFill="1" applyBorder="1" applyAlignment="1" applyProtection="1">
      <alignment horizontal="right" vertical="center"/>
      <protection locked="0"/>
    </xf>
    <xf numFmtId="182" fontId="145" fillId="0" borderId="0" xfId="20" applyNumberFormat="1" applyFont="1" applyFill="1" applyBorder="1" applyAlignment="1" applyProtection="1">
      <alignment horizontal="center" vertical="center"/>
      <protection locked="0"/>
    </xf>
    <xf numFmtId="182" fontId="145" fillId="0" borderId="0" xfId="20" applyNumberFormat="1" applyFont="1" applyAlignment="1" applyProtection="1">
      <alignment horizontal="center" vertical="center"/>
    </xf>
    <xf numFmtId="37" fontId="145" fillId="0" borderId="0" xfId="19" applyFont="1" applyBorder="1" applyAlignment="1" applyProtection="1">
      <alignment horizontal="right"/>
      <protection locked="0"/>
    </xf>
    <xf numFmtId="182" fontId="145" fillId="20" borderId="0" xfId="20" applyNumberFormat="1" applyFont="1" applyFill="1" applyBorder="1" applyAlignment="1" applyProtection="1">
      <alignment horizontal="right"/>
      <protection locked="0"/>
    </xf>
    <xf numFmtId="37" fontId="145" fillId="0" borderId="0" xfId="19" quotePrefix="1" applyFont="1" applyBorder="1" applyAlignment="1" applyProtection="1">
      <alignment horizontal="right"/>
      <protection locked="0"/>
    </xf>
    <xf numFmtId="182" fontId="145" fillId="0" borderId="0" xfId="20" applyNumberFormat="1" applyFont="1" applyFill="1" applyBorder="1" applyAlignment="1" applyProtection="1">
      <alignment horizontal="center"/>
      <protection locked="0"/>
    </xf>
    <xf numFmtId="182" fontId="145" fillId="0" borderId="0" xfId="20" quotePrefix="1" applyNumberFormat="1" applyFont="1"/>
    <xf numFmtId="37" fontId="145" fillId="0" borderId="0" xfId="19" applyFont="1" applyFill="1" applyBorder="1" applyAlignment="1" applyProtection="1">
      <alignment horizontal="right"/>
      <protection locked="0"/>
    </xf>
    <xf numFmtId="3" fontId="145" fillId="0" borderId="0" xfId="19" quotePrefix="1" applyNumberFormat="1" applyFont="1" applyBorder="1" applyAlignment="1" applyProtection="1">
      <alignment horizontal="left"/>
      <protection locked="0"/>
    </xf>
    <xf numFmtId="37" fontId="145" fillId="0" borderId="0" xfId="19" quotePrefix="1" applyFont="1" applyFill="1" applyBorder="1" applyAlignment="1" applyProtection="1">
      <alignment horizontal="right" vertical="center"/>
      <protection locked="0"/>
    </xf>
    <xf numFmtId="37" fontId="145" fillId="0" borderId="0" xfId="19" applyFont="1" applyFill="1" applyBorder="1" applyAlignment="1" applyProtection="1">
      <alignment horizontal="left" vertical="center"/>
      <protection locked="0"/>
    </xf>
    <xf numFmtId="181" fontId="145" fillId="0" borderId="0" xfId="19" applyNumberFormat="1" applyFont="1" applyFill="1" applyBorder="1" applyAlignment="1" applyProtection="1">
      <alignment horizontal="left" vertical="center"/>
      <protection locked="0"/>
    </xf>
    <xf numFmtId="3" fontId="145" fillId="0" borderId="0" xfId="19" applyNumberFormat="1" applyFont="1" applyFill="1" applyBorder="1" applyAlignment="1" applyProtection="1">
      <alignment horizontal="right" vertical="center"/>
      <protection locked="0"/>
    </xf>
    <xf numFmtId="182" fontId="145" fillId="0" borderId="0" xfId="20" applyNumberFormat="1" applyFont="1" applyFill="1" applyAlignment="1">
      <alignment vertical="center"/>
    </xf>
    <xf numFmtId="37" fontId="145" fillId="0" borderId="0" xfId="20" applyNumberFormat="1" applyFont="1" applyFill="1" applyBorder="1" applyAlignment="1" applyProtection="1">
      <alignment horizontal="right" vertical="center"/>
      <protection locked="0"/>
    </xf>
    <xf numFmtId="182" fontId="145" fillId="0" borderId="0" xfId="20" quotePrefix="1" applyNumberFormat="1" applyFont="1" applyFill="1"/>
    <xf numFmtId="10" fontId="145" fillId="0" borderId="0" xfId="20" applyNumberFormat="1" applyFont="1" applyFill="1" applyBorder="1" applyAlignment="1" applyProtection="1">
      <alignment horizontal="right"/>
      <protection locked="0"/>
    </xf>
    <xf numFmtId="37" fontId="143" fillId="0" borderId="0" xfId="19" applyFont="1" applyFill="1"/>
    <xf numFmtId="3" fontId="145" fillId="0" borderId="0" xfId="20" applyNumberFormat="1" applyFont="1" applyBorder="1" applyAlignment="1" applyProtection="1">
      <alignment horizontal="right"/>
      <protection locked="0"/>
    </xf>
    <xf numFmtId="3" fontId="145" fillId="0" borderId="0" xfId="19" quotePrefix="1" applyNumberFormat="1" applyFont="1" applyFill="1" applyBorder="1" applyAlignment="1" applyProtection="1">
      <alignment horizontal="left"/>
      <protection locked="0"/>
    </xf>
    <xf numFmtId="3" fontId="145" fillId="0" borderId="0" xfId="19" quotePrefix="1" applyNumberFormat="1" applyFont="1" applyFill="1" applyBorder="1" applyAlignment="1" applyProtection="1">
      <alignment horizontal="left" vertical="center"/>
      <protection locked="0"/>
    </xf>
    <xf numFmtId="182" fontId="145" fillId="0" borderId="0" xfId="20" applyNumberFormat="1" applyFont="1" applyFill="1" applyAlignment="1" applyProtection="1">
      <alignment vertical="center"/>
    </xf>
    <xf numFmtId="182" fontId="145" fillId="20" borderId="0" xfId="20" applyNumberFormat="1" applyFont="1" applyFill="1" applyBorder="1" applyAlignment="1" applyProtection="1">
      <alignment horizontal="right" vertical="center"/>
      <protection locked="0"/>
    </xf>
    <xf numFmtId="182" fontId="145" fillId="0" borderId="0" xfId="20" quotePrefix="1" applyNumberFormat="1" applyFont="1" applyFill="1" applyAlignment="1">
      <alignment vertical="center"/>
    </xf>
    <xf numFmtId="37" fontId="142" fillId="0" borderId="0" xfId="19" applyFont="1" applyAlignment="1"/>
    <xf numFmtId="37" fontId="145" fillId="0" borderId="0" xfId="19" applyFont="1" applyBorder="1" applyAlignment="1"/>
    <xf numFmtId="183" fontId="147" fillId="0" borderId="0" xfId="19" applyNumberFormat="1" applyFont="1" applyAlignment="1" applyProtection="1"/>
    <xf numFmtId="183" fontId="147" fillId="0" borderId="0" xfId="19" applyNumberFormat="1" applyFont="1" applyFill="1" applyAlignment="1" applyProtection="1"/>
    <xf numFmtId="183" fontId="145" fillId="0" borderId="0" xfId="19" applyNumberFormat="1" applyFont="1" applyAlignment="1"/>
    <xf numFmtId="37" fontId="145" fillId="0" borderId="0" xfId="19" applyFont="1" applyFill="1" applyBorder="1" applyAlignment="1">
      <alignment horizontal="center" vertical="center"/>
    </xf>
    <xf numFmtId="183" fontId="147" fillId="0" borderId="0" xfId="19" applyNumberFormat="1" applyFont="1" applyFill="1" applyAlignment="1" applyProtection="1">
      <alignment vertical="center"/>
    </xf>
    <xf numFmtId="183" fontId="145" fillId="0" borderId="0" xfId="19" quotePrefix="1" applyNumberFormat="1" applyFont="1" applyFill="1" applyAlignment="1" applyProtection="1">
      <alignment vertical="center"/>
    </xf>
    <xf numFmtId="183" fontId="145" fillId="0" borderId="0" xfId="19" applyNumberFormat="1" applyFont="1" applyFill="1" applyAlignment="1">
      <alignment vertical="center"/>
    </xf>
    <xf numFmtId="37" fontId="142" fillId="0" borderId="0" xfId="19" applyFont="1" applyFill="1" applyAlignment="1">
      <alignment vertical="center"/>
    </xf>
    <xf numFmtId="37" fontId="143" fillId="0" borderId="0" xfId="19" applyFont="1" applyAlignment="1">
      <alignment horizontal="left" vertical="center"/>
    </xf>
    <xf numFmtId="183" fontId="145" fillId="0" borderId="0" xfId="19" applyNumberFormat="1" applyFont="1" applyAlignment="1">
      <alignment vertical="center"/>
    </xf>
    <xf numFmtId="183" fontId="145" fillId="0" borderId="0" xfId="19" applyNumberFormat="1" applyFont="1" applyAlignment="1">
      <alignment horizontal="center" vertical="center"/>
    </xf>
    <xf numFmtId="37" fontId="145" fillId="0" borderId="0" xfId="19" applyFont="1" applyFill="1" applyAlignment="1">
      <alignment vertical="center"/>
    </xf>
    <xf numFmtId="183" fontId="145" fillId="0" borderId="0" xfId="19" applyNumberFormat="1" applyFont="1" applyFill="1" applyBorder="1" applyAlignment="1" applyProtection="1">
      <alignment vertical="center"/>
    </xf>
    <xf numFmtId="183" fontId="145" fillId="0" borderId="0" xfId="19" applyNumberFormat="1" applyFont="1" applyFill="1" applyAlignment="1">
      <alignment horizontal="center" vertical="center"/>
    </xf>
    <xf numFmtId="184" fontId="145" fillId="0" borderId="0" xfId="20" applyNumberFormat="1" applyFont="1" applyFill="1" applyBorder="1" applyAlignment="1" applyProtection="1">
      <alignment horizontal="right"/>
      <protection locked="0"/>
    </xf>
    <xf numFmtId="185" fontId="145" fillId="0" borderId="0" xfId="20" applyNumberFormat="1" applyFont="1" applyFill="1" applyBorder="1" applyAlignment="1" applyProtection="1">
      <alignment horizontal="right" vertical="center"/>
      <protection locked="0"/>
    </xf>
    <xf numFmtId="37" fontId="145" fillId="0" borderId="0" xfId="19" applyFont="1" applyFill="1" applyAlignment="1">
      <alignment horizontal="center" vertical="center"/>
    </xf>
    <xf numFmtId="183" fontId="147" fillId="0" borderId="0" xfId="19" applyNumberFormat="1" applyFont="1" applyFill="1" applyAlignment="1">
      <alignment vertical="center"/>
    </xf>
    <xf numFmtId="37" fontId="145" fillId="0" borderId="0" xfId="19" quotePrefix="1" applyFont="1" applyBorder="1" applyAlignment="1" applyProtection="1">
      <alignment horizontal="right" vertical="center"/>
      <protection locked="0"/>
    </xf>
    <xf numFmtId="183" fontId="147" fillId="0" borderId="0" xfId="20" applyNumberFormat="1" applyFont="1" applyBorder="1" applyAlignment="1" applyProtection="1">
      <alignment horizontal="right" vertical="center"/>
      <protection locked="0"/>
    </xf>
    <xf numFmtId="183" fontId="147" fillId="0" borderId="0" xfId="20" applyNumberFormat="1" applyFont="1" applyFill="1" applyBorder="1" applyAlignment="1" applyProtection="1">
      <alignment horizontal="right" vertical="center"/>
      <protection locked="0"/>
    </xf>
    <xf numFmtId="183" fontId="145" fillId="0" borderId="0" xfId="20" applyNumberFormat="1" applyFont="1" applyBorder="1" applyAlignment="1" applyProtection="1">
      <alignment horizontal="right" vertical="center"/>
      <protection locked="0"/>
    </xf>
    <xf numFmtId="182" fontId="145" fillId="0" borderId="0" xfId="20" applyNumberFormat="1" applyFont="1" applyAlignment="1">
      <alignment vertical="center"/>
    </xf>
    <xf numFmtId="182" fontId="147" fillId="0" borderId="0" xfId="20" applyNumberFormat="1" applyFont="1" applyAlignment="1" applyProtection="1">
      <alignment horizontal="center" vertical="center"/>
    </xf>
    <xf numFmtId="37" fontId="143" fillId="0" borderId="0" xfId="19" applyFont="1" applyBorder="1" applyAlignment="1">
      <alignment horizontal="left" vertical="center"/>
    </xf>
    <xf numFmtId="183" fontId="147" fillId="0" borderId="0" xfId="19" applyNumberFormat="1" applyFont="1" applyAlignment="1">
      <alignment vertical="center"/>
    </xf>
    <xf numFmtId="183" fontId="145" fillId="0" borderId="0" xfId="19" applyNumberFormat="1" applyFont="1" applyBorder="1" applyAlignment="1" applyProtection="1">
      <alignment vertical="center"/>
    </xf>
    <xf numFmtId="183" fontId="145" fillId="20" borderId="0" xfId="19" applyNumberFormat="1" applyFont="1" applyFill="1" applyAlignment="1">
      <alignment vertical="center"/>
    </xf>
    <xf numFmtId="37" fontId="145" fillId="0" borderId="0" xfId="19" applyFont="1" applyFill="1" applyBorder="1" applyAlignment="1">
      <alignment vertical="center"/>
    </xf>
    <xf numFmtId="183" fontId="145" fillId="0" borderId="0" xfId="19" applyNumberFormat="1" applyFont="1" applyFill="1" applyBorder="1" applyAlignment="1">
      <alignment vertical="center"/>
    </xf>
    <xf numFmtId="183" fontId="145" fillId="0" borderId="0" xfId="19" applyNumberFormat="1" applyFont="1" applyBorder="1" applyAlignment="1">
      <alignment vertical="center"/>
    </xf>
    <xf numFmtId="183" fontId="147" fillId="0" borderId="0" xfId="19" applyNumberFormat="1" applyFont="1" applyFill="1" applyBorder="1" applyAlignment="1" applyProtection="1">
      <alignment vertical="center"/>
    </xf>
    <xf numFmtId="183" fontId="147" fillId="0" borderId="0" xfId="19" applyNumberFormat="1" applyFont="1" applyBorder="1" applyAlignment="1" applyProtection="1">
      <alignment vertical="center"/>
    </xf>
    <xf numFmtId="185" fontId="147" fillId="0" borderId="0" xfId="20" applyNumberFormat="1" applyFont="1" applyBorder="1" applyAlignment="1" applyProtection="1">
      <alignment horizontal="right" vertical="center"/>
      <protection locked="0"/>
    </xf>
    <xf numFmtId="37" fontId="143" fillId="0" borderId="0" xfId="19" quotePrefix="1" applyFont="1" applyAlignment="1">
      <alignment horizontal="left" vertical="center"/>
    </xf>
    <xf numFmtId="181" fontId="145" fillId="0" borderId="0" xfId="19" applyNumberFormat="1" applyFont="1" applyAlignment="1" applyProtection="1">
      <alignment vertical="center"/>
    </xf>
    <xf numFmtId="183" fontId="145" fillId="0" borderId="0" xfId="19" applyNumberFormat="1" applyFont="1" applyAlignment="1" applyProtection="1">
      <alignment horizontal="left" vertical="center"/>
    </xf>
    <xf numFmtId="37" fontId="143" fillId="0" borderId="0" xfId="19" applyFont="1" applyAlignment="1">
      <alignment vertical="center"/>
    </xf>
    <xf numFmtId="183" fontId="147" fillId="0" borderId="0" xfId="19" applyNumberFormat="1" applyFont="1" applyAlignment="1" applyProtection="1">
      <alignment vertical="center"/>
    </xf>
    <xf numFmtId="182" fontId="148" fillId="0" borderId="0" xfId="20" applyNumberFormat="1" applyFont="1" applyBorder="1" applyAlignment="1" applyProtection="1">
      <alignment horizontal="right" vertical="center"/>
      <protection locked="0"/>
    </xf>
    <xf numFmtId="183" fontId="145" fillId="0" borderId="0" xfId="19" applyNumberFormat="1" applyFont="1"/>
    <xf numFmtId="183" fontId="145" fillId="0" borderId="0" xfId="19" applyNumberFormat="1" applyFont="1" applyAlignment="1">
      <alignment horizontal="center"/>
    </xf>
    <xf numFmtId="37" fontId="145" fillId="0" borderId="0" xfId="19" quotePrefix="1" applyFont="1" applyBorder="1" applyAlignment="1" applyProtection="1">
      <alignment horizontal="left" vertical="center"/>
      <protection locked="0"/>
    </xf>
    <xf numFmtId="37" fontId="145" fillId="0" borderId="0" xfId="19" applyFont="1" applyAlignment="1">
      <alignment horizontal="left"/>
    </xf>
    <xf numFmtId="183" fontId="145" fillId="0" borderId="0" xfId="19" applyNumberFormat="1" applyFont="1" applyFill="1"/>
    <xf numFmtId="37" fontId="142" fillId="0" borderId="0" xfId="19" applyFont="1" applyAlignment="1">
      <alignment horizontal="center" vertical="center"/>
    </xf>
    <xf numFmtId="183" fontId="145" fillId="0" borderId="0" xfId="19" applyNumberFormat="1" applyFont="1" applyAlignment="1">
      <alignment horizontal="left"/>
    </xf>
    <xf numFmtId="43" fontId="147" fillId="0" borderId="0" xfId="19" applyNumberFormat="1" applyFont="1" applyFill="1" applyBorder="1" applyProtection="1"/>
    <xf numFmtId="186" fontId="142" fillId="0" borderId="0" xfId="19" applyNumberFormat="1" applyFont="1" applyAlignment="1" applyProtection="1">
      <alignment vertical="center"/>
    </xf>
    <xf numFmtId="183" fontId="142" fillId="0" borderId="0" xfId="19" applyNumberFormat="1" applyFont="1" applyAlignment="1">
      <alignment vertical="center"/>
    </xf>
    <xf numFmtId="183" fontId="142" fillId="0" borderId="0" xfId="19" applyNumberFormat="1" applyFont="1" applyAlignment="1">
      <alignment horizontal="center" vertical="center"/>
    </xf>
    <xf numFmtId="183" fontId="142" fillId="0" borderId="0" xfId="19" applyNumberFormat="1" applyFont="1" applyFill="1" applyAlignment="1">
      <alignment vertical="center"/>
    </xf>
    <xf numFmtId="37" fontId="45" fillId="0" borderId="0" xfId="19" quotePrefix="1" applyFont="1" applyAlignment="1">
      <alignment horizontal="left" vertical="center"/>
    </xf>
    <xf numFmtId="183" fontId="45" fillId="0" borderId="0" xfId="19" applyNumberFormat="1" applyFont="1" applyAlignment="1">
      <alignment vertical="center"/>
    </xf>
    <xf numFmtId="37" fontId="45" fillId="0" borderId="78" xfId="19" applyFont="1" applyBorder="1" applyAlignment="1">
      <alignment horizontal="center" vertical="center"/>
    </xf>
    <xf numFmtId="37" fontId="142" fillId="0" borderId="78" xfId="19" applyFont="1" applyBorder="1" applyAlignment="1">
      <alignment vertical="center"/>
    </xf>
    <xf numFmtId="186" fontId="142" fillId="0" borderId="78" xfId="19" applyNumberFormat="1" applyFont="1" applyBorder="1" applyAlignment="1" applyProtection="1">
      <alignment vertical="center"/>
    </xf>
    <xf numFmtId="37" fontId="142" fillId="0" borderId="78" xfId="19" applyFont="1" applyBorder="1" applyAlignment="1">
      <alignment horizontal="center" vertical="center"/>
    </xf>
    <xf numFmtId="183" fontId="142" fillId="0" borderId="78" xfId="19" applyNumberFormat="1" applyFont="1" applyBorder="1" applyAlignment="1">
      <alignment vertical="center"/>
    </xf>
    <xf numFmtId="183" fontId="142" fillId="0" borderId="78" xfId="19" applyNumberFormat="1" applyFont="1" applyBorder="1" applyAlignment="1">
      <alignment horizontal="center" vertical="center"/>
    </xf>
    <xf numFmtId="37" fontId="142" fillId="0" borderId="0" xfId="19" applyFont="1" applyAlignment="1" applyProtection="1">
      <alignment horizontal="left"/>
    </xf>
    <xf numFmtId="37" fontId="10" fillId="0" borderId="0" xfId="19" applyFont="1" applyAlignment="1" applyProtection="1"/>
    <xf numFmtId="37" fontId="27" fillId="0" borderId="0" xfId="19" applyFont="1" applyAlignment="1" applyProtection="1">
      <alignment horizontal="left"/>
    </xf>
    <xf numFmtId="169" fontId="10" fillId="0" borderId="0" xfId="19" applyNumberFormat="1" applyFont="1" applyAlignment="1" applyProtection="1">
      <alignment horizontal="left"/>
    </xf>
    <xf numFmtId="1" fontId="10" fillId="0" borderId="0" xfId="19" applyNumberFormat="1" applyFont="1" applyAlignment="1" applyProtection="1">
      <alignment horizontal="left"/>
    </xf>
    <xf numFmtId="37" fontId="10" fillId="0" borderId="0" xfId="19" applyFont="1" applyAlignment="1" applyProtection="1">
      <alignment horizontal="left"/>
    </xf>
    <xf numFmtId="169" fontId="142" fillId="0" borderId="0" xfId="19" applyNumberFormat="1" applyFont="1" applyAlignment="1" applyProtection="1">
      <alignment horizontal="left"/>
    </xf>
    <xf numFmtId="1" fontId="142" fillId="0" borderId="0" xfId="19" applyNumberFormat="1" applyFont="1" applyAlignment="1" applyProtection="1">
      <alignment horizontal="left"/>
    </xf>
    <xf numFmtId="37" fontId="142" fillId="0" borderId="0" xfId="19" applyFont="1" applyProtection="1">
      <protection locked="0"/>
    </xf>
    <xf numFmtId="169" fontId="142" fillId="0" borderId="0" xfId="19" applyNumberFormat="1" applyFont="1" applyProtection="1">
      <protection locked="0"/>
    </xf>
    <xf numFmtId="1" fontId="142" fillId="0" borderId="0" xfId="19" applyNumberFormat="1" applyFont="1" applyProtection="1">
      <protection locked="0"/>
    </xf>
    <xf numFmtId="37" fontId="142" fillId="0" borderId="0" xfId="19" applyFont="1" applyAlignment="1" applyProtection="1">
      <alignment horizontal="center"/>
      <protection locked="0"/>
    </xf>
    <xf numFmtId="37" fontId="13" fillId="0" borderId="0" xfId="19" applyFont="1" applyAlignment="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10" fillId="0" borderId="0" xfId="3" quotePrefix="1" applyProtection="1">
      <protection locked="0"/>
    </xf>
    <xf numFmtId="37" fontId="27" fillId="0" borderId="0" xfId="19" applyFont="1" applyAlignment="1" applyProtection="1">
      <alignment horizontal="left" wrapText="1"/>
    </xf>
    <xf numFmtId="37" fontId="10" fillId="0" borderId="0" xfId="19" applyFont="1" applyAlignment="1" applyProtection="1">
      <alignment horizontal="left" wrapText="1"/>
    </xf>
    <xf numFmtId="37" fontId="146" fillId="0" borderId="0" xfId="19" applyFont="1" applyBorder="1" applyAlignment="1">
      <alignment horizontal="center" vertical="center"/>
    </xf>
    <xf numFmtId="184" fontId="147" fillId="0" borderId="0" xfId="20" applyNumberFormat="1" applyFont="1" applyFill="1" applyBorder="1" applyAlignment="1" applyProtection="1">
      <alignment horizontal="right"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27" fillId="0" borderId="0" xfId="19" applyFont="1" applyAlignment="1" applyProtection="1">
      <alignment horizontal="left" wrapText="1"/>
    </xf>
    <xf numFmtId="37" fontId="10" fillId="0" borderId="0" xfId="19" applyFont="1" applyAlignment="1" applyProtection="1">
      <alignment horizontal="left" wrapText="1"/>
    </xf>
    <xf numFmtId="37" fontId="143" fillId="0" borderId="0" xfId="19" applyFont="1" applyAlignment="1">
      <alignment horizontal="center"/>
    </xf>
    <xf numFmtId="37" fontId="144" fillId="0" borderId="0" xfId="19" applyFont="1" applyBorder="1" applyAlignment="1">
      <alignment horizontal="center"/>
    </xf>
    <xf numFmtId="37" fontId="145" fillId="0" borderId="78" xfId="19" applyFont="1" applyBorder="1" applyAlignment="1">
      <alignment horizontal="center" vertical="center"/>
    </xf>
    <xf numFmtId="37" fontId="146" fillId="0" borderId="0" xfId="19" applyFont="1" applyBorder="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pplyProtection="1">
      <alignment horizontal="center" vertical="center" wrapText="1"/>
    </xf>
    <xf numFmtId="0" fontId="54" fillId="0" borderId="144" xfId="3" applyFont="1" applyBorder="1" applyAlignment="1" applyProtection="1">
      <alignment horizontal="center" vertical="center" wrapText="1"/>
    </xf>
    <xf numFmtId="178" fontId="65" fillId="0" borderId="74" xfId="3" applyNumberFormat="1" applyFont="1" applyBorder="1" applyAlignment="1" applyProtection="1">
      <alignment horizontal="center"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166" xfId="3" applyFont="1" applyBorder="1" applyAlignment="1" applyProtection="1">
      <alignment horizontal="center" vertic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SEFA 08" xfId="19"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xdr:colOff>
          <xdr:row>1</xdr:row>
          <xdr:rowOff>17318</xdr:rowOff>
        </xdr:from>
        <xdr:to>
          <xdr:col>1</xdr:col>
          <xdr:colOff>957695</xdr:colOff>
          <xdr:row>5</xdr:row>
          <xdr:rowOff>55418</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1082387</xdr:colOff>
          <xdr:row>1</xdr:row>
          <xdr:rowOff>8659</xdr:rowOff>
        </xdr:from>
        <xdr:to>
          <xdr:col>1</xdr:col>
          <xdr:colOff>1993323</xdr:colOff>
          <xdr:row>5</xdr:row>
          <xdr:rowOff>46759</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2199411</xdr:colOff>
          <xdr:row>1</xdr:row>
          <xdr:rowOff>25977</xdr:rowOff>
        </xdr:from>
        <xdr:to>
          <xdr:col>1</xdr:col>
          <xdr:colOff>3110347</xdr:colOff>
          <xdr:row>5</xdr:row>
          <xdr:rowOff>64077</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90" t="s">
        <v>405</v>
      </c>
      <c r="J1" s="2191"/>
      <c r="K1" s="2191"/>
      <c r="L1" s="2191"/>
      <c r="M1" s="2191"/>
      <c r="N1" s="2191"/>
      <c r="O1" s="2191"/>
      <c r="P1" s="2191"/>
      <c r="Q1" s="2191"/>
      <c r="R1" s="2191"/>
      <c r="S1" s="2191"/>
    </row>
    <row r="2" spans="1:28" ht="12" customHeight="1" x14ac:dyDescent="0.2">
      <c r="A2" s="47" t="s">
        <v>1990</v>
      </c>
      <c r="D2" s="48"/>
      <c r="I2" s="2192" t="s">
        <v>979</v>
      </c>
      <c r="J2" s="2191"/>
      <c r="K2" s="2191"/>
      <c r="L2" s="2191"/>
      <c r="M2" s="2191"/>
      <c r="N2" s="2191"/>
      <c r="O2" s="2191"/>
      <c r="P2" s="2191"/>
      <c r="Q2" s="2191"/>
      <c r="R2" s="2191"/>
      <c r="S2" s="2191"/>
    </row>
    <row r="3" spans="1:28" ht="12" customHeight="1" x14ac:dyDescent="0.2">
      <c r="A3" s="155" t="s">
        <v>1942</v>
      </c>
      <c r="B3" s="156"/>
      <c r="C3" s="156"/>
      <c r="D3" s="157"/>
      <c r="I3" s="2192" t="s">
        <v>52</v>
      </c>
      <c r="J3" s="2191"/>
      <c r="K3" s="2191"/>
      <c r="L3" s="2191"/>
      <c r="M3" s="2191"/>
      <c r="N3" s="2191"/>
      <c r="O3" s="2191"/>
      <c r="P3" s="2191"/>
      <c r="Q3" s="2191"/>
      <c r="R3" s="2191"/>
      <c r="S3" s="2191"/>
    </row>
    <row r="4" spans="1:28" ht="12" customHeight="1" x14ac:dyDescent="0.2">
      <c r="A4" s="37"/>
      <c r="I4" s="2192" t="s">
        <v>524</v>
      </c>
      <c r="J4" s="2191"/>
      <c r="K4" s="2191"/>
      <c r="L4" s="2191"/>
      <c r="M4" s="2191"/>
      <c r="N4" s="2191"/>
      <c r="O4" s="2191"/>
      <c r="P4" s="2191"/>
      <c r="Q4" s="2191"/>
      <c r="R4" s="2191"/>
      <c r="S4" s="2191"/>
    </row>
    <row r="5" spans="1:28" ht="14.1" customHeight="1" x14ac:dyDescent="0.2">
      <c r="B5" s="104"/>
      <c r="C5" s="26" t="s">
        <v>910</v>
      </c>
      <c r="D5" s="84"/>
      <c r="E5" s="84"/>
      <c r="H5" s="38"/>
      <c r="I5" s="2200" t="s">
        <v>680</v>
      </c>
      <c r="J5" s="2199"/>
      <c r="K5" s="2199"/>
      <c r="L5" s="2199"/>
      <c r="M5" s="2199"/>
      <c r="N5" s="2199"/>
      <c r="O5" s="2199"/>
      <c r="P5" s="2199"/>
      <c r="Q5" s="2199"/>
      <c r="R5" s="2199"/>
      <c r="S5" s="2199"/>
    </row>
    <row r="6" spans="1:28" ht="14.1" customHeight="1" x14ac:dyDescent="0.2">
      <c r="B6" s="104" t="s">
        <v>2067</v>
      </c>
      <c r="C6" s="26" t="s">
        <v>911</v>
      </c>
      <c r="D6" s="84"/>
      <c r="E6" s="84"/>
      <c r="I6" s="2198" t="s">
        <v>883</v>
      </c>
      <c r="J6" s="2199"/>
      <c r="K6" s="2199"/>
      <c r="L6" s="2199"/>
      <c r="M6" s="2199"/>
      <c r="N6" s="2199"/>
      <c r="O6" s="2199"/>
      <c r="P6" s="2199"/>
      <c r="Q6" s="2199"/>
      <c r="R6" s="2199"/>
      <c r="S6" s="2199"/>
    </row>
    <row r="7" spans="1:28" ht="12.2" customHeight="1" x14ac:dyDescent="0.2">
      <c r="I7" s="2193">
        <v>43646</v>
      </c>
      <c r="J7" s="2194"/>
      <c r="K7" s="2194"/>
      <c r="L7" s="2194"/>
      <c r="M7" s="2194"/>
      <c r="N7" s="2194"/>
      <c r="O7" s="2194"/>
      <c r="P7" s="2194"/>
      <c r="Q7" s="2194"/>
      <c r="R7" s="2194"/>
      <c r="S7" s="21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95" t="s">
        <v>674</v>
      </c>
      <c r="J9" s="2196"/>
      <c r="K9" s="2196"/>
      <c r="L9" s="2196"/>
      <c r="M9" s="2196"/>
      <c r="N9" s="2196"/>
      <c r="O9" s="2196"/>
      <c r="P9" s="2196"/>
      <c r="Q9" s="2196"/>
      <c r="R9" s="2196"/>
      <c r="S9" s="2197"/>
      <c r="T9" s="2211" t="s">
        <v>533</v>
      </c>
      <c r="U9" s="2212"/>
      <c r="V9" s="2212"/>
      <c r="W9" s="2212"/>
      <c r="X9" s="2212"/>
      <c r="Y9" s="2212"/>
      <c r="Z9" s="2212"/>
      <c r="AA9" s="2213"/>
    </row>
    <row r="10" spans="1:28" ht="13.5" customHeight="1" x14ac:dyDescent="0.2">
      <c r="A10" s="2218" t="s">
        <v>675</v>
      </c>
      <c r="B10" s="2219"/>
      <c r="C10" s="2219"/>
      <c r="D10" s="2219"/>
      <c r="E10" s="2219"/>
      <c r="F10" s="2219"/>
      <c r="G10" s="2219"/>
      <c r="H10" s="2220"/>
      <c r="I10" s="29"/>
      <c r="J10" s="30"/>
      <c r="K10" s="28"/>
      <c r="R10" s="30"/>
      <c r="S10" s="30"/>
      <c r="T10" s="2214"/>
      <c r="U10" s="2199"/>
      <c r="V10" s="2199"/>
      <c r="W10" s="2199"/>
      <c r="X10" s="2199"/>
      <c r="Y10" s="2199"/>
      <c r="Z10" s="2199"/>
      <c r="AA10" s="2205"/>
    </row>
    <row r="11" spans="1:28" ht="14.25" customHeight="1" x14ac:dyDescent="0.2">
      <c r="A11" s="2221" t="s">
        <v>955</v>
      </c>
      <c r="B11" s="2222"/>
      <c r="C11" s="2222"/>
      <c r="D11" s="2222"/>
      <c r="E11" s="2222"/>
      <c r="F11" s="2222"/>
      <c r="G11" s="2222"/>
      <c r="H11" s="2223"/>
      <c r="I11" s="27"/>
      <c r="J11" s="74"/>
      <c r="K11" s="27"/>
      <c r="O11" s="148" t="s">
        <v>2067</v>
      </c>
      <c r="P11" s="100" t="s">
        <v>201</v>
      </c>
      <c r="Q11" s="30"/>
      <c r="R11" s="28"/>
      <c r="S11" s="27"/>
      <c r="T11" s="2215"/>
      <c r="U11" s="2216"/>
      <c r="V11" s="2216"/>
      <c r="W11" s="2216"/>
      <c r="X11" s="2216"/>
      <c r="Y11" s="2216"/>
      <c r="Z11" s="2216"/>
      <c r="AA11" s="22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225">
        <v>26062000061</v>
      </c>
      <c r="B13" s="2226"/>
      <c r="C13" s="2226"/>
      <c r="D13" s="2226"/>
      <c r="E13" s="2226"/>
      <c r="F13" s="2226"/>
      <c r="G13" s="2226"/>
      <c r="H13" s="2227"/>
      <c r="I13" s="31"/>
      <c r="J13" s="30"/>
      <c r="K13" s="28"/>
      <c r="L13" s="30"/>
      <c r="M13" s="30"/>
      <c r="N13" s="30"/>
      <c r="O13" s="30"/>
      <c r="P13" s="30"/>
      <c r="Q13" s="30"/>
      <c r="R13" s="30"/>
      <c r="S13" s="30"/>
      <c r="T13" s="2230" t="s">
        <v>2069</v>
      </c>
      <c r="U13" s="2231"/>
      <c r="V13" s="2231"/>
      <c r="W13" s="2231"/>
      <c r="X13" s="2231"/>
      <c r="Y13" s="2232"/>
      <c r="Z13" s="2232"/>
      <c r="AA13" s="22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224" t="s">
        <v>2071</v>
      </c>
      <c r="B15" s="2228"/>
      <c r="C15" s="2228"/>
      <c r="D15" s="2228"/>
      <c r="E15" s="2228"/>
      <c r="F15" s="2228"/>
      <c r="G15" s="2228"/>
      <c r="H15" s="2229"/>
      <c r="T15" s="2234" t="s">
        <v>2078</v>
      </c>
      <c r="U15" s="2178"/>
      <c r="V15" s="2178"/>
      <c r="W15" s="2178"/>
      <c r="X15" s="2178"/>
      <c r="Y15" s="2235"/>
      <c r="Z15" s="2235"/>
      <c r="AA15" s="22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84" t="s">
        <v>2259</v>
      </c>
      <c r="B17" s="2185"/>
      <c r="C17" s="2185"/>
      <c r="D17" s="2185"/>
      <c r="E17" s="2185"/>
      <c r="F17" s="2185"/>
      <c r="G17" s="2185"/>
      <c r="H17" s="2210"/>
      <c r="T17" s="2241" t="s">
        <v>2061</v>
      </c>
      <c r="U17" s="2242"/>
      <c r="V17" s="2242"/>
      <c r="W17" s="2242"/>
      <c r="X17" s="2242"/>
      <c r="Y17" s="2242"/>
      <c r="Z17" s="2242"/>
      <c r="AA17" s="2243"/>
    </row>
    <row r="18" spans="1:27" ht="13.5" customHeight="1" x14ac:dyDescent="0.2">
      <c r="A18" s="85" t="s">
        <v>530</v>
      </c>
      <c r="B18" s="76"/>
      <c r="C18" s="72"/>
      <c r="D18" s="76"/>
      <c r="E18" s="76"/>
      <c r="F18" s="76"/>
      <c r="G18" s="76"/>
      <c r="H18" s="56"/>
      <c r="I18" s="2209" t="s">
        <v>676</v>
      </c>
      <c r="J18" s="2160"/>
      <c r="K18" s="2160"/>
      <c r="L18" s="2160"/>
      <c r="M18" s="2160"/>
      <c r="N18" s="2160"/>
      <c r="O18" s="2160"/>
      <c r="P18" s="2160"/>
      <c r="Q18" s="2160"/>
      <c r="R18" s="2160"/>
      <c r="S18" s="2161"/>
      <c r="T18" s="85" t="s">
        <v>711</v>
      </c>
      <c r="U18" s="51"/>
      <c r="V18" s="72"/>
      <c r="W18" s="50"/>
      <c r="X18" s="85" t="s">
        <v>266</v>
      </c>
      <c r="Y18" s="81"/>
      <c r="Z18" s="159" t="s">
        <v>677</v>
      </c>
      <c r="AA18" s="46"/>
    </row>
    <row r="19" spans="1:27" ht="13.5" customHeight="1" x14ac:dyDescent="0.2">
      <c r="A19" s="2224" t="s">
        <v>2073</v>
      </c>
      <c r="B19" s="2170"/>
      <c r="C19" s="2170"/>
      <c r="D19" s="2170"/>
      <c r="E19" s="2170"/>
      <c r="F19" s="2170"/>
      <c r="G19" s="2170"/>
      <c r="H19" s="2150"/>
      <c r="I19" s="30"/>
      <c r="J19" s="99"/>
      <c r="K19" s="40"/>
      <c r="L19" s="38"/>
      <c r="M19" s="112" t="s">
        <v>315</v>
      </c>
      <c r="P19" s="27"/>
      <c r="Q19" s="27"/>
      <c r="R19" s="27"/>
      <c r="S19" s="31"/>
      <c r="T19" s="2224" t="s">
        <v>2062</v>
      </c>
      <c r="U19" s="2149"/>
      <c r="V19" s="2149"/>
      <c r="W19" s="2150"/>
      <c r="X19" s="2239" t="s">
        <v>2063</v>
      </c>
      <c r="Y19" s="2240"/>
      <c r="Z19" s="2237">
        <v>61614</v>
      </c>
      <c r="AA19" s="22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48" t="s">
        <v>2222</v>
      </c>
      <c r="B21" s="2149"/>
      <c r="C21" s="2149"/>
      <c r="D21" s="2149"/>
      <c r="E21" s="2149"/>
      <c r="F21" s="2149"/>
      <c r="G21" s="2149"/>
      <c r="H21" s="2150"/>
      <c r="I21" s="2204" t="s">
        <v>678</v>
      </c>
      <c r="J21" s="2199"/>
      <c r="K21" s="2199"/>
      <c r="L21" s="2199"/>
      <c r="M21" s="2199"/>
      <c r="N21" s="2199"/>
      <c r="O21" s="2199"/>
      <c r="P21" s="2199"/>
      <c r="Q21" s="2199"/>
      <c r="R21" s="2199"/>
      <c r="S21" s="2205"/>
      <c r="T21" s="2248" t="s">
        <v>2064</v>
      </c>
      <c r="U21" s="2249"/>
      <c r="V21" s="2249"/>
      <c r="W21" s="2249"/>
      <c r="X21" s="2254" t="s">
        <v>2065</v>
      </c>
      <c r="Y21" s="2255"/>
      <c r="Z21" s="2255"/>
      <c r="AA21" s="2256"/>
    </row>
    <row r="22" spans="1:27" ht="13.5" customHeight="1" x14ac:dyDescent="0.2">
      <c r="A22" s="87" t="s">
        <v>531</v>
      </c>
      <c r="B22" s="59"/>
      <c r="C22" s="59"/>
      <c r="D22" s="59"/>
      <c r="E22" s="59"/>
      <c r="F22" s="59"/>
      <c r="G22" s="59"/>
      <c r="H22" s="60"/>
      <c r="I22" s="2206" t="s">
        <v>1429</v>
      </c>
      <c r="J22" s="2207"/>
      <c r="K22" s="2207"/>
      <c r="L22" s="2207"/>
      <c r="M22" s="2207"/>
      <c r="N22" s="2207"/>
      <c r="O22" s="2207"/>
      <c r="P22" s="2207"/>
      <c r="Q22" s="2207"/>
      <c r="R22" s="2207"/>
      <c r="S22" s="2208"/>
      <c r="T22" s="85" t="s">
        <v>1516</v>
      </c>
      <c r="U22" s="51"/>
      <c r="V22" s="72"/>
      <c r="W22" s="51"/>
      <c r="X22" s="160" t="s">
        <v>1318</v>
      </c>
      <c r="Z22" s="45"/>
      <c r="AA22" s="46"/>
    </row>
    <row r="23" spans="1:27" ht="13.5" customHeight="1" x14ac:dyDescent="0.2">
      <c r="A23" s="2201" t="s">
        <v>2074</v>
      </c>
      <c r="B23" s="2202"/>
      <c r="C23" s="2202"/>
      <c r="D23" s="2202"/>
      <c r="E23" s="2202"/>
      <c r="F23" s="2202"/>
      <c r="G23" s="2202"/>
      <c r="H23" s="2203"/>
      <c r="T23" s="2184" t="s">
        <v>2066</v>
      </c>
      <c r="U23" s="2247"/>
      <c r="V23" s="2247"/>
      <c r="W23" s="2247"/>
      <c r="X23" s="2251">
        <v>44501</v>
      </c>
      <c r="Y23" s="2252"/>
      <c r="Z23" s="2252"/>
      <c r="AA23" s="2253"/>
    </row>
    <row r="24" spans="1:27" ht="14.1" customHeight="1" x14ac:dyDescent="0.2">
      <c r="A24" s="88" t="s">
        <v>677</v>
      </c>
      <c r="B24" s="49"/>
      <c r="C24" s="49"/>
      <c r="D24" s="49"/>
      <c r="E24" s="49"/>
      <c r="F24" s="49"/>
      <c r="G24" s="49"/>
      <c r="H24" s="61"/>
      <c r="J24" s="2171" t="str">
        <f>IF(B5="x",IF(AUDITCHECK!D29="AFR form Incomplete.","",IF(AUDITCHECK!D29="Deficit reduction plan is required.","School District must complete a deficit reduction plan in the 2019-2020 Budget",)),"")</f>
        <v/>
      </c>
      <c r="K24" s="2171"/>
      <c r="L24" s="2171"/>
      <c r="M24" s="2171"/>
      <c r="N24" s="2171"/>
      <c r="O24" s="2171"/>
      <c r="P24" s="2171"/>
      <c r="Q24" s="2171"/>
      <c r="R24" s="2171"/>
      <c r="S24" s="2172"/>
      <c r="T24" s="105" t="s">
        <v>531</v>
      </c>
      <c r="U24" s="106"/>
      <c r="V24" s="106"/>
      <c r="W24" s="106"/>
      <c r="X24" s="107"/>
      <c r="Y24" s="107"/>
      <c r="Z24" s="107"/>
      <c r="AA24" s="108"/>
    </row>
    <row r="25" spans="1:27" ht="14.1" customHeight="1" x14ac:dyDescent="0.2">
      <c r="A25" s="2148">
        <v>61455</v>
      </c>
      <c r="B25" s="2149"/>
      <c r="C25" s="2149"/>
      <c r="D25" s="2149"/>
      <c r="E25" s="2149"/>
      <c r="F25" s="2149"/>
      <c r="G25" s="2149"/>
      <c r="H25" s="2150"/>
      <c r="I25" s="113"/>
      <c r="J25" s="2173"/>
      <c r="K25" s="2173"/>
      <c r="L25" s="2173"/>
      <c r="M25" s="2173"/>
      <c r="N25" s="2173"/>
      <c r="O25" s="2173"/>
      <c r="P25" s="2173"/>
      <c r="Q25" s="2173"/>
      <c r="R25" s="2173"/>
      <c r="S25" s="2174"/>
      <c r="T25" s="2244" t="s">
        <v>2077</v>
      </c>
      <c r="U25" s="2245"/>
      <c r="V25" s="2245"/>
      <c r="W25" s="2245"/>
      <c r="X25" s="2245"/>
      <c r="Y25" s="2245"/>
      <c r="Z25" s="2245"/>
      <c r="AA25" s="22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59" t="s">
        <v>1511</v>
      </c>
      <c r="J27" s="2160"/>
      <c r="K27" s="2160"/>
      <c r="L27" s="2160"/>
      <c r="M27" s="2160"/>
      <c r="N27" s="2160"/>
      <c r="O27" s="2160"/>
      <c r="P27" s="2160"/>
      <c r="Q27" s="2160"/>
      <c r="R27" s="2160"/>
      <c r="S27" s="21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70"/>
      <c r="Q35" s="2149"/>
      <c r="R35" s="21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84" t="s">
        <v>2075</v>
      </c>
      <c r="B38" s="2185"/>
      <c r="C38" s="2185"/>
      <c r="D38" s="2185"/>
      <c r="E38" s="2185"/>
      <c r="F38" s="2149"/>
      <c r="G38" s="2149"/>
      <c r="H38" s="2150"/>
      <c r="I38" s="2177"/>
      <c r="J38" s="2178"/>
      <c r="K38" s="2178"/>
      <c r="L38" s="2178"/>
      <c r="M38" s="2178"/>
      <c r="N38" s="2178"/>
      <c r="O38" s="2178"/>
      <c r="P38" s="2179"/>
      <c r="Q38" s="2179"/>
      <c r="R38" s="2179"/>
      <c r="S38" s="2180"/>
      <c r="T38" s="2234"/>
      <c r="U38" s="2178"/>
      <c r="V38" s="2178"/>
      <c r="W38" s="2178"/>
      <c r="X38" s="2179"/>
      <c r="Y38" s="2179"/>
      <c r="Z38" s="2179"/>
      <c r="AA38" s="2180"/>
    </row>
    <row r="39" spans="1:27" ht="12" customHeight="1" x14ac:dyDescent="0.2">
      <c r="A39" s="2154" t="s">
        <v>531</v>
      </c>
      <c r="B39" s="2155"/>
      <c r="C39" s="72"/>
      <c r="D39" s="69"/>
      <c r="E39" s="69"/>
      <c r="F39" s="79"/>
      <c r="G39" s="69"/>
      <c r="H39" s="56"/>
      <c r="I39" s="2154" t="s">
        <v>531</v>
      </c>
      <c r="J39" s="2155"/>
      <c r="K39" s="2155"/>
      <c r="L39" s="2155"/>
      <c r="M39" s="2155"/>
      <c r="N39" s="67"/>
      <c r="O39" s="72"/>
      <c r="P39" s="72"/>
      <c r="Q39" s="78"/>
      <c r="R39" s="72"/>
      <c r="S39" s="56"/>
      <c r="T39" s="72" t="s">
        <v>531</v>
      </c>
      <c r="U39" s="51"/>
      <c r="V39" s="72"/>
      <c r="W39" s="50"/>
      <c r="X39" s="78"/>
      <c r="Y39" s="45"/>
      <c r="Z39" s="45"/>
      <c r="AA39" s="46"/>
    </row>
    <row r="40" spans="1:27" ht="13.5" customHeight="1" x14ac:dyDescent="0.2">
      <c r="A40" s="2162" t="s">
        <v>2074</v>
      </c>
      <c r="B40" s="2163"/>
      <c r="C40" s="2164"/>
      <c r="D40" s="2164"/>
      <c r="E40" s="2164"/>
      <c r="F40" s="2165"/>
      <c r="G40" s="2165"/>
      <c r="H40" s="2166"/>
      <c r="I40" s="2187"/>
      <c r="J40" s="2188"/>
      <c r="K40" s="2188"/>
      <c r="L40" s="2188"/>
      <c r="M40" s="2188"/>
      <c r="N40" s="2188"/>
      <c r="O40" s="2188"/>
      <c r="P40" s="2188"/>
      <c r="Q40" s="2188"/>
      <c r="R40" s="2188"/>
      <c r="S40" s="2189"/>
      <c r="T40" s="2187"/>
      <c r="U40" s="2250"/>
      <c r="V40" s="2188"/>
      <c r="W40" s="2188"/>
      <c r="X40" s="2188"/>
      <c r="Y40" s="2188"/>
      <c r="Z40" s="2188"/>
      <c r="AA40" s="21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76" t="s">
        <v>2076</v>
      </c>
      <c r="B42" s="2168"/>
      <c r="C42" s="2169"/>
      <c r="D42" s="2167">
        <v>3098332367</v>
      </c>
      <c r="E42" s="2168"/>
      <c r="F42" s="2168"/>
      <c r="G42" s="2168"/>
      <c r="H42" s="2169"/>
      <c r="I42" s="2151"/>
      <c r="J42" s="2152"/>
      <c r="K42" s="2152"/>
      <c r="L42" s="2152"/>
      <c r="M42" s="2152"/>
      <c r="N42" s="2152"/>
      <c r="O42" s="2153"/>
      <c r="P42" s="2186"/>
      <c r="Q42" s="2152"/>
      <c r="R42" s="2152"/>
      <c r="S42" s="2153"/>
      <c r="T42" s="2151"/>
      <c r="U42" s="2152"/>
      <c r="V42" s="2152"/>
      <c r="W42" s="2153"/>
      <c r="X42" s="2186"/>
      <c r="Y42" s="2152"/>
      <c r="Z42" s="2152"/>
      <c r="AA42" s="21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81"/>
      <c r="B44" s="2182"/>
      <c r="C44" s="2182"/>
      <c r="D44" s="2182"/>
      <c r="E44" s="2182"/>
      <c r="F44" s="2182"/>
      <c r="G44" s="2182"/>
      <c r="H44" s="2183"/>
      <c r="I44" s="2156"/>
      <c r="J44" s="2157"/>
      <c r="K44" s="2157"/>
      <c r="L44" s="2157"/>
      <c r="M44" s="2157"/>
      <c r="N44" s="2157"/>
      <c r="O44" s="2157"/>
      <c r="P44" s="2157"/>
      <c r="Q44" s="2157"/>
      <c r="R44" s="2157"/>
      <c r="S44" s="2158"/>
      <c r="T44" s="2156"/>
      <c r="U44" s="2175"/>
      <c r="V44" s="2175"/>
      <c r="W44" s="2175"/>
      <c r="X44" s="2175"/>
      <c r="Y44" s="2175"/>
      <c r="Z44" s="2157"/>
      <c r="AA44" s="21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390" t="s">
        <v>1799</v>
      </c>
      <c r="B2" s="1525" t="s">
        <v>1948</v>
      </c>
      <c r="C2" s="711" t="s">
        <v>1949</v>
      </c>
      <c r="D2" s="711" t="s">
        <v>1950</v>
      </c>
      <c r="E2" s="711" t="s">
        <v>1951</v>
      </c>
      <c r="F2" s="711" t="s">
        <v>1952</v>
      </c>
    </row>
    <row r="3" spans="1:6" ht="12" customHeight="1" x14ac:dyDescent="0.2">
      <c r="A3" s="2391"/>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12" t="s">
        <v>629</v>
      </c>
      <c r="B1" s="2410"/>
      <c r="C1" s="718"/>
    </row>
    <row r="2" spans="1:7" ht="33.75" x14ac:dyDescent="0.2">
      <c r="A2" s="2417" t="s">
        <v>1799</v>
      </c>
      <c r="B2" s="2418"/>
      <c r="C2" s="1879" t="s">
        <v>1953</v>
      </c>
      <c r="D2" s="720" t="s">
        <v>1954</v>
      </c>
      <c r="E2" s="720" t="s">
        <v>1955</v>
      </c>
      <c r="F2" s="1879" t="s">
        <v>1956</v>
      </c>
    </row>
    <row r="3" spans="1:7" ht="15.75" customHeight="1" x14ac:dyDescent="0.2">
      <c r="A3" s="2419" t="s">
        <v>1114</v>
      </c>
      <c r="B3" s="2420"/>
      <c r="C3" s="2413"/>
      <c r="D3" s="2414"/>
      <c r="E3" s="2414"/>
      <c r="F3" s="2415"/>
    </row>
    <row r="4" spans="1:7" ht="12.75" customHeight="1" thickBot="1" x14ac:dyDescent="0.25">
      <c r="A4" s="2407" t="s">
        <v>630</v>
      </c>
      <c r="B4" s="2408"/>
      <c r="C4" s="578"/>
      <c r="D4" s="578"/>
      <c r="E4" s="578"/>
      <c r="F4" s="1752">
        <f>SUM(C4+D4)-E4</f>
        <v>0</v>
      </c>
    </row>
    <row r="5" spans="1:7" ht="15.75" customHeight="1" thickTop="1" x14ac:dyDescent="0.2">
      <c r="A5" s="2411" t="s">
        <v>1110</v>
      </c>
      <c r="B5" s="2406"/>
      <c r="C5" s="2400"/>
      <c r="D5" s="2401"/>
      <c r="E5" s="2401"/>
      <c r="F5" s="240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403" t="s">
        <v>631</v>
      </c>
      <c r="B15" s="2404"/>
      <c r="C15" s="1752">
        <f>SUM(C6:C14)</f>
        <v>0</v>
      </c>
      <c r="D15" s="1752">
        <f>SUM(D6:D14)</f>
        <v>0</v>
      </c>
      <c r="E15" s="1752">
        <f>SUM(E6:E14)</f>
        <v>0</v>
      </c>
      <c r="F15" s="1752">
        <f>SUM(F6:F14)</f>
        <v>0</v>
      </c>
      <c r="G15" s="549"/>
    </row>
    <row r="16" spans="1:7" s="202" customFormat="1" ht="15.75" customHeight="1" thickTop="1" x14ac:dyDescent="0.2">
      <c r="A16" s="2416" t="s">
        <v>1111</v>
      </c>
      <c r="B16" s="2406"/>
      <c r="C16" s="2400"/>
      <c r="D16" s="2401"/>
      <c r="E16" s="2401"/>
      <c r="F16" s="2402"/>
    </row>
    <row r="17" spans="1:11" ht="12.75" customHeight="1" thickBot="1" x14ac:dyDescent="0.25">
      <c r="A17" s="2398" t="s">
        <v>64</v>
      </c>
      <c r="B17" s="2399"/>
      <c r="C17" s="723"/>
      <c r="D17" s="582"/>
      <c r="E17" s="723"/>
      <c r="F17" s="1752">
        <f>SUM(C17+D17)-E17</f>
        <v>0</v>
      </c>
    </row>
    <row r="18" spans="1:11" ht="12.75" customHeight="1" thickTop="1" thickBot="1" x14ac:dyDescent="0.25">
      <c r="A18" s="2398" t="s">
        <v>6</v>
      </c>
      <c r="B18" s="2399"/>
      <c r="C18" s="723"/>
      <c r="D18" s="582"/>
      <c r="E18" s="723"/>
      <c r="F18" s="1752">
        <f>SUM(C18+D18)-E18</f>
        <v>0</v>
      </c>
    </row>
    <row r="19" spans="1:11" ht="12.75" customHeight="1" thickTop="1" thickBot="1" x14ac:dyDescent="0.25">
      <c r="A19" s="2398" t="s">
        <v>388</v>
      </c>
      <c r="B19" s="2399"/>
      <c r="C19" s="723"/>
      <c r="D19" s="582"/>
      <c r="E19" s="723"/>
      <c r="F19" s="1752">
        <f>SUM(C19+D19)-E19</f>
        <v>0</v>
      </c>
    </row>
    <row r="20" spans="1:11" ht="12.75" customHeight="1" thickTop="1" thickBot="1" x14ac:dyDescent="0.25">
      <c r="A20" s="2398" t="s">
        <v>448</v>
      </c>
      <c r="B20" s="2399"/>
      <c r="C20" s="723"/>
      <c r="D20" s="582"/>
      <c r="E20" s="723"/>
      <c r="F20" s="1752">
        <f>SUM(C20+D20)-E20</f>
        <v>0</v>
      </c>
    </row>
    <row r="21" spans="1:11" ht="14.25" thickTop="1" thickBot="1" x14ac:dyDescent="0.25">
      <c r="A21" s="2403" t="s">
        <v>632</v>
      </c>
      <c r="B21" s="2404"/>
      <c r="C21" s="1752">
        <f>SUM(C17:C20)</f>
        <v>0</v>
      </c>
      <c r="D21" s="1752">
        <f>SUM(D17:D20)</f>
        <v>0</v>
      </c>
      <c r="E21" s="1752">
        <f>SUM(E17:E20)</f>
        <v>0</v>
      </c>
      <c r="F21" s="1752">
        <f>SUM(F17:F20)</f>
        <v>0</v>
      </c>
      <c r="G21" s="549"/>
    </row>
    <row r="22" spans="1:11" ht="15.75" customHeight="1" thickTop="1" x14ac:dyDescent="0.2">
      <c r="A22" s="2405" t="s">
        <v>1112</v>
      </c>
      <c r="B22" s="2406"/>
      <c r="C22" s="2400"/>
      <c r="D22" s="2401"/>
      <c r="E22" s="2401"/>
      <c r="F22" s="2402"/>
    </row>
    <row r="23" spans="1:11" ht="13.5" thickBot="1" x14ac:dyDescent="0.25">
      <c r="A23" s="2407" t="s">
        <v>633</v>
      </c>
      <c r="B23" s="2408"/>
      <c r="C23" s="578"/>
      <c r="D23" s="578"/>
      <c r="E23" s="578"/>
      <c r="F23" s="1752">
        <f>SUM(C23+D23)-E23</f>
        <v>0</v>
      </c>
      <c r="G23" s="549"/>
    </row>
    <row r="24" spans="1:11" ht="15.75" customHeight="1" thickTop="1" x14ac:dyDescent="0.2">
      <c r="A24" s="2405" t="s">
        <v>1113</v>
      </c>
      <c r="B24" s="2406"/>
      <c r="C24" s="2400"/>
      <c r="D24" s="2401"/>
      <c r="E24" s="2401"/>
      <c r="F24" s="2402"/>
    </row>
    <row r="25" spans="1:11" ht="13.5" thickBot="1" x14ac:dyDescent="0.25">
      <c r="A25" s="2407" t="s">
        <v>634</v>
      </c>
      <c r="B25" s="2408"/>
      <c r="C25" s="578"/>
      <c r="D25" s="578"/>
      <c r="E25" s="578"/>
      <c r="F25" s="1752">
        <f>SUM(C25+D25)-E25</f>
        <v>0</v>
      </c>
      <c r="G25" s="549"/>
    </row>
    <row r="26" spans="1:11" ht="15.75" customHeight="1" thickTop="1" x14ac:dyDescent="0.2">
      <c r="A26" s="2411" t="s">
        <v>657</v>
      </c>
      <c r="B26" s="2406"/>
      <c r="C26" s="724"/>
      <c r="D26" s="724"/>
      <c r="E26" s="724"/>
      <c r="F26" s="725"/>
    </row>
    <row r="27" spans="1:11" ht="13.5" thickBot="1" x14ac:dyDescent="0.25">
      <c r="A27" s="2403" t="s">
        <v>1070</v>
      </c>
      <c r="B27" s="2404"/>
      <c r="C27" s="582"/>
      <c r="D27" s="582"/>
      <c r="E27" s="582"/>
      <c r="F27" s="1752">
        <f>SUM(C27+D27)-E27</f>
        <v>0</v>
      </c>
      <c r="G27" s="549"/>
    </row>
    <row r="28" spans="1:11" ht="7.5" customHeight="1" thickTop="1" x14ac:dyDescent="0.2">
      <c r="A28" s="590"/>
    </row>
    <row r="29" spans="1:11" ht="23.25" customHeight="1" x14ac:dyDescent="0.2">
      <c r="A29" s="2409" t="s">
        <v>582</v>
      </c>
      <c r="B29" s="2410"/>
      <c r="C29" s="726"/>
      <c r="D29" s="726"/>
      <c r="E29" s="726"/>
      <c r="F29" s="726"/>
      <c r="G29" s="726"/>
      <c r="H29" s="726"/>
      <c r="I29" s="726"/>
      <c r="J29" s="726"/>
    </row>
    <row r="30" spans="1:11" ht="33.75" x14ac:dyDescent="0.2">
      <c r="A30" s="1526" t="s">
        <v>1071</v>
      </c>
      <c r="B30" s="727" t="s">
        <v>1124</v>
      </c>
      <c r="C30" s="1880" t="s">
        <v>583</v>
      </c>
      <c r="D30" s="1880" t="s">
        <v>1673</v>
      </c>
      <c r="E30" s="1880" t="s">
        <v>1957</v>
      </c>
      <c r="F30" s="1880" t="s">
        <v>1958</v>
      </c>
      <c r="G30" s="1880" t="s">
        <v>1908</v>
      </c>
      <c r="H30" s="1880" t="s">
        <v>1959</v>
      </c>
      <c r="I30" s="1880" t="s">
        <v>1960</v>
      </c>
      <c r="J30" s="1881"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92" t="s">
        <v>584</v>
      </c>
      <c r="C52" s="2393"/>
      <c r="D52" s="2393"/>
      <c r="E52" s="746" t="s">
        <v>845</v>
      </c>
      <c r="F52" s="2394"/>
      <c r="G52" s="2395"/>
      <c r="H52" s="733"/>
      <c r="I52" s="733"/>
      <c r="J52" s="743"/>
    </row>
    <row r="53" spans="1:11" ht="11.25" customHeight="1" x14ac:dyDescent="0.2">
      <c r="A53" s="747" t="s">
        <v>913</v>
      </c>
      <c r="B53" s="748" t="s">
        <v>951</v>
      </c>
      <c r="C53" s="743"/>
      <c r="D53" s="734"/>
      <c r="E53" s="746" t="s">
        <v>497</v>
      </c>
      <c r="F53" s="2396"/>
      <c r="G53" s="2397"/>
      <c r="H53" s="733"/>
      <c r="I53" s="733"/>
      <c r="J53" s="743"/>
    </row>
    <row r="54" spans="1:11" ht="11.25" customHeight="1" x14ac:dyDescent="0.2">
      <c r="A54" s="749" t="s">
        <v>914</v>
      </c>
      <c r="B54" s="744" t="s">
        <v>952</v>
      </c>
      <c r="C54" s="743"/>
      <c r="D54" s="734"/>
      <c r="E54" s="746" t="s">
        <v>498</v>
      </c>
      <c r="F54" s="2396"/>
      <c r="G54" s="239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21" t="s">
        <v>856</v>
      </c>
      <c r="B1" s="2422"/>
      <c r="C1" s="2422"/>
      <c r="D1" s="2422"/>
      <c r="E1" s="2422"/>
      <c r="F1" s="2422"/>
      <c r="G1" s="2423"/>
      <c r="H1" s="1527"/>
      <c r="I1" s="757"/>
      <c r="J1" s="433"/>
    </row>
    <row r="2" spans="1:11" ht="26.25" x14ac:dyDescent="0.2">
      <c r="A2" s="2440" t="s">
        <v>1677</v>
      </c>
      <c r="B2" s="2441"/>
      <c r="C2" s="2441"/>
      <c r="D2" s="2441"/>
      <c r="E2" s="2442"/>
      <c r="F2" s="758" t="s">
        <v>904</v>
      </c>
      <c r="G2" s="759" t="s">
        <v>1674</v>
      </c>
      <c r="H2" s="759" t="s">
        <v>410</v>
      </c>
      <c r="I2" s="759" t="s">
        <v>1158</v>
      </c>
      <c r="J2" s="759" t="s">
        <v>1809</v>
      </c>
      <c r="K2" s="759" t="s">
        <v>138</v>
      </c>
    </row>
    <row r="3" spans="1:11" x14ac:dyDescent="0.2">
      <c r="A3" s="2443" t="s">
        <v>1961</v>
      </c>
      <c r="B3" s="2444"/>
      <c r="C3" s="2444"/>
      <c r="D3" s="2444"/>
      <c r="E3" s="2445"/>
      <c r="F3" s="760"/>
      <c r="G3" s="761"/>
      <c r="H3" s="761"/>
      <c r="I3" s="761"/>
      <c r="J3" s="762"/>
      <c r="K3" s="762"/>
    </row>
    <row r="4" spans="1:11" x14ac:dyDescent="0.2">
      <c r="A4" s="2446" t="s">
        <v>369</v>
      </c>
      <c r="B4" s="2447"/>
      <c r="C4" s="2447"/>
      <c r="D4" s="2447"/>
      <c r="E4" s="2393"/>
      <c r="F4" s="763"/>
      <c r="G4" s="764"/>
      <c r="H4" s="765"/>
      <c r="I4" s="764"/>
      <c r="J4" s="766"/>
      <c r="K4" s="766"/>
    </row>
    <row r="5" spans="1:11" x14ac:dyDescent="0.2">
      <c r="A5" s="2424" t="s">
        <v>1069</v>
      </c>
      <c r="B5" s="2425"/>
      <c r="C5" s="2425"/>
      <c r="D5" s="2425"/>
      <c r="E5" s="2426"/>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424" t="s">
        <v>1810</v>
      </c>
      <c r="B10" s="2425"/>
      <c r="C10" s="2425"/>
      <c r="D10" s="2425"/>
      <c r="E10" s="2427"/>
      <c r="F10" s="780" t="s">
        <v>862</v>
      </c>
      <c r="G10" s="779"/>
      <c r="H10" s="781"/>
      <c r="I10" s="761"/>
      <c r="J10" s="762"/>
      <c r="K10" s="762"/>
    </row>
    <row r="11" spans="1:11" x14ac:dyDescent="0.2">
      <c r="A11" s="2424" t="s">
        <v>160</v>
      </c>
      <c r="B11" s="2425"/>
      <c r="C11" s="2425"/>
      <c r="D11" s="2425"/>
      <c r="E11" s="2426"/>
      <c r="F11" s="767" t="s">
        <v>852</v>
      </c>
      <c r="G11" s="768"/>
      <c r="H11" s="761"/>
      <c r="I11" s="761"/>
      <c r="J11" s="762"/>
      <c r="K11" s="770"/>
    </row>
    <row r="12" spans="1:11" ht="13.5" thickBot="1" x14ac:dyDescent="0.25">
      <c r="A12" s="2451" t="s">
        <v>905</v>
      </c>
      <c r="B12" s="2452"/>
      <c r="C12" s="2452"/>
      <c r="D12" s="2452"/>
      <c r="E12" s="2453"/>
      <c r="F12" s="1754"/>
      <c r="G12" s="1755">
        <f>SUM(G5:G11)</f>
        <v>0</v>
      </c>
      <c r="H12" s="1755">
        <f>SUM(H5:H11)</f>
        <v>0</v>
      </c>
      <c r="I12" s="1755">
        <f>SUM(I5:I11)</f>
        <v>0</v>
      </c>
      <c r="J12" s="1755">
        <f>SUM(J5:J11)</f>
        <v>0</v>
      </c>
      <c r="K12" s="1755">
        <f>SUM(K5:K11)</f>
        <v>0</v>
      </c>
    </row>
    <row r="13" spans="1:11" ht="13.5" thickTop="1" x14ac:dyDescent="0.2">
      <c r="A13" s="2448" t="s">
        <v>370</v>
      </c>
      <c r="B13" s="2449"/>
      <c r="C13" s="2449"/>
      <c r="D13" s="2449"/>
      <c r="E13" s="2450"/>
      <c r="F13" s="782"/>
      <c r="G13" s="783"/>
      <c r="H13" s="784"/>
      <c r="I13" s="785"/>
      <c r="J13" s="785"/>
      <c r="K13" s="785"/>
    </row>
    <row r="14" spans="1:11" x14ac:dyDescent="0.2">
      <c r="A14" s="2431" t="s">
        <v>456</v>
      </c>
      <c r="B14" s="2431"/>
      <c r="C14" s="2431"/>
      <c r="D14" s="2431"/>
      <c r="E14" s="2432"/>
      <c r="F14" s="786" t="s">
        <v>854</v>
      </c>
      <c r="G14" s="779"/>
      <c r="H14" s="761"/>
      <c r="I14" s="768"/>
      <c r="J14" s="770"/>
      <c r="K14" s="762"/>
    </row>
    <row r="15" spans="1:11" x14ac:dyDescent="0.2">
      <c r="A15" s="2425" t="s">
        <v>4</v>
      </c>
      <c r="B15" s="2425"/>
      <c r="C15" s="2425"/>
      <c r="D15" s="2425"/>
      <c r="E15" s="2426"/>
      <c r="F15" s="786" t="s">
        <v>855</v>
      </c>
      <c r="G15" s="768"/>
      <c r="H15" s="761"/>
      <c r="I15" s="761"/>
      <c r="J15" s="762"/>
      <c r="K15" s="762"/>
    </row>
    <row r="16" spans="1:11" x14ac:dyDescent="0.2">
      <c r="A16" s="2425" t="s">
        <v>298</v>
      </c>
      <c r="B16" s="2425"/>
      <c r="C16" s="2425"/>
      <c r="D16" s="2425"/>
      <c r="E16" s="2426"/>
      <c r="F16" s="786" t="s">
        <v>923</v>
      </c>
      <c r="G16" s="769"/>
      <c r="H16" s="764"/>
      <c r="I16" s="764"/>
      <c r="J16" s="766"/>
      <c r="K16" s="766"/>
    </row>
    <row r="17" spans="1:11" x14ac:dyDescent="0.2">
      <c r="A17" s="2456" t="s">
        <v>935</v>
      </c>
      <c r="B17" s="2456"/>
      <c r="C17" s="2456"/>
      <c r="D17" s="2456"/>
      <c r="E17" s="2457"/>
      <c r="F17" s="787"/>
      <c r="G17" s="788"/>
      <c r="H17" s="789"/>
      <c r="I17" s="789"/>
      <c r="J17" s="790"/>
      <c r="K17" s="791"/>
    </row>
    <row r="18" spans="1:11" x14ac:dyDescent="0.2">
      <c r="A18" s="2435" t="s">
        <v>368</v>
      </c>
      <c r="B18" s="2436"/>
      <c r="C18" s="2436"/>
      <c r="D18" s="2436"/>
      <c r="E18" s="2437"/>
      <c r="F18" s="786" t="s">
        <v>932</v>
      </c>
      <c r="G18" s="779"/>
      <c r="H18" s="779"/>
      <c r="I18" s="779"/>
      <c r="J18" s="762"/>
      <c r="K18" s="792"/>
    </row>
    <row r="19" spans="1:11" ht="21.75" customHeight="1" x14ac:dyDescent="0.2">
      <c r="A19" s="2433" t="s">
        <v>1806</v>
      </c>
      <c r="B19" s="2433"/>
      <c r="C19" s="2433"/>
      <c r="D19" s="2433"/>
      <c r="E19" s="2434"/>
      <c r="F19" s="786" t="s">
        <v>933</v>
      </c>
      <c r="G19" s="779"/>
      <c r="H19" s="779"/>
      <c r="I19" s="779"/>
      <c r="J19" s="762"/>
      <c r="K19" s="792"/>
    </row>
    <row r="20" spans="1:11" x14ac:dyDescent="0.2">
      <c r="A20" s="2435" t="s">
        <v>1811</v>
      </c>
      <c r="B20" s="2436"/>
      <c r="C20" s="2436"/>
      <c r="D20" s="2436"/>
      <c r="E20" s="2437"/>
      <c r="F20" s="786" t="s">
        <v>934</v>
      </c>
      <c r="G20" s="779"/>
      <c r="H20" s="779"/>
      <c r="I20" s="779"/>
      <c r="J20" s="762"/>
      <c r="K20" s="792"/>
    </row>
    <row r="21" spans="1:11" ht="13.5" thickBot="1" x14ac:dyDescent="0.25">
      <c r="A21" s="2454" t="s">
        <v>638</v>
      </c>
      <c r="B21" s="2454"/>
      <c r="C21" s="2454"/>
      <c r="D21" s="2454"/>
      <c r="E21" s="2454"/>
      <c r="F21" s="1756"/>
      <c r="G21" s="789"/>
      <c r="H21" s="793"/>
      <c r="I21" s="793"/>
      <c r="J21" s="1757">
        <f>SUM(J18:J20)</f>
        <v>0</v>
      </c>
      <c r="K21" s="790"/>
    </row>
    <row r="22" spans="1:11" ht="13.5" thickTop="1" x14ac:dyDescent="0.2">
      <c r="A22" s="2425" t="s">
        <v>1812</v>
      </c>
      <c r="B22" s="2425"/>
      <c r="C22" s="2425"/>
      <c r="D22" s="2425"/>
      <c r="E22" s="2426"/>
      <c r="F22" s="786" t="s">
        <v>862</v>
      </c>
      <c r="G22" s="779"/>
      <c r="H22" s="761"/>
      <c r="I22" s="761"/>
      <c r="J22" s="794"/>
      <c r="K22" s="762"/>
    </row>
    <row r="23" spans="1:11" ht="13.5" thickBot="1" x14ac:dyDescent="0.25">
      <c r="A23" s="2455" t="s">
        <v>906</v>
      </c>
      <c r="B23" s="2454"/>
      <c r="C23" s="2454"/>
      <c r="D23" s="2454"/>
      <c r="E23" s="2454"/>
      <c r="F23" s="1758"/>
      <c r="G23" s="1755">
        <f>SUM(G14:G16,G21,G22)</f>
        <v>0</v>
      </c>
      <c r="H23" s="1755">
        <f>SUM(H14:H16,H21,H22)</f>
        <v>0</v>
      </c>
      <c r="I23" s="1755">
        <f>SUM(I14:I16,I21,I22)</f>
        <v>0</v>
      </c>
      <c r="J23" s="1755">
        <f>SUM(J14:J16,J21,J22)</f>
        <v>0</v>
      </c>
      <c r="K23" s="1755">
        <f>SUM(K14:K16,K21,K22)</f>
        <v>0</v>
      </c>
    </row>
    <row r="24" spans="1:11" ht="14.25" thickTop="1" thickBot="1" x14ac:dyDescent="0.25">
      <c r="A24" s="2455" t="s">
        <v>1962</v>
      </c>
      <c r="B24" s="2454"/>
      <c r="C24" s="2454"/>
      <c r="D24" s="2454"/>
      <c r="E24" s="2454"/>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5" t="s">
        <v>1907</v>
      </c>
      <c r="B28" s="1876"/>
      <c r="C28" s="1876"/>
      <c r="D28" s="1876"/>
      <c r="E28" s="1877"/>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428"/>
      <c r="I31" s="2429"/>
      <c r="J31" s="2429"/>
      <c r="K31" s="2429"/>
    </row>
    <row r="32" spans="1:11" x14ac:dyDescent="0.2">
      <c r="A32" s="806"/>
      <c r="B32" s="237"/>
      <c r="C32" s="237"/>
      <c r="D32" s="237"/>
      <c r="E32" s="802"/>
      <c r="F32" s="808" t="s">
        <v>540</v>
      </c>
      <c r="G32" s="761"/>
      <c r="H32" s="2430"/>
      <c r="I32" s="2429"/>
      <c r="J32" s="2429"/>
      <c r="K32" s="2429"/>
    </row>
    <row r="33" spans="1:11" ht="1.5" customHeight="1" x14ac:dyDescent="0.2">
      <c r="A33" s="809" t="s">
        <v>1169</v>
      </c>
      <c r="B33" s="364"/>
      <c r="C33" s="364"/>
      <c r="D33" s="364"/>
      <c r="E33" s="364"/>
      <c r="F33" s="364"/>
      <c r="G33" s="810"/>
      <c r="H33" s="2430"/>
      <c r="I33" s="2429"/>
      <c r="J33" s="2429"/>
      <c r="K33" s="2429"/>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425" t="s">
        <v>541</v>
      </c>
      <c r="B41" s="2438"/>
      <c r="C41" s="2438"/>
      <c r="D41" s="2438"/>
      <c r="E41" s="2438"/>
      <c r="F41" s="243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60" t="s">
        <v>1906</v>
      </c>
      <c r="B1" s="2461"/>
      <c r="C1" s="2462"/>
      <c r="D1" s="823"/>
      <c r="E1" s="824"/>
      <c r="F1" s="824"/>
      <c r="G1" s="825"/>
      <c r="H1" s="826"/>
      <c r="I1" s="827"/>
      <c r="J1" s="2458"/>
      <c r="K1" s="2459"/>
      <c r="L1" s="2459"/>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0</v>
      </c>
      <c r="D5" s="838"/>
      <c r="E5" s="838"/>
      <c r="F5" s="1757">
        <f>(C5+D5)-E5</f>
        <v>0</v>
      </c>
      <c r="G5" s="834"/>
      <c r="H5" s="839"/>
      <c r="I5" s="839"/>
      <c r="J5" s="839"/>
      <c r="K5" s="790"/>
      <c r="L5" s="1766">
        <f>F5-K5</f>
        <v>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0</v>
      </c>
      <c r="D8" s="841"/>
      <c r="E8" s="841"/>
      <c r="F8" s="1757">
        <f>(C8+D8)-E8</f>
        <v>0</v>
      </c>
      <c r="G8" s="840">
        <v>50</v>
      </c>
      <c r="H8" s="762">
        <v>0</v>
      </c>
      <c r="I8" s="762"/>
      <c r="J8" s="762"/>
      <c r="K8" s="1766">
        <f>(H8+I8)-J8</f>
        <v>0</v>
      </c>
      <c r="L8" s="1766">
        <f>F8-K8</f>
        <v>0</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227629</v>
      </c>
      <c r="D12" s="841">
        <v>30289</v>
      </c>
      <c r="E12" s="841">
        <v>45299</v>
      </c>
      <c r="F12" s="1757">
        <f>(C12+D12)-E12</f>
        <v>212619</v>
      </c>
      <c r="G12" s="840">
        <v>10</v>
      </c>
      <c r="H12" s="762">
        <v>0</v>
      </c>
      <c r="I12" s="762"/>
      <c r="J12" s="762"/>
      <c r="K12" s="1766">
        <f>(H12+I12)-J12</f>
        <v>0</v>
      </c>
      <c r="L12" s="1766">
        <f>F12-K12</f>
        <v>212619</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227629</v>
      </c>
      <c r="D16" s="1757">
        <f>SUM(D3,D5:D6,D8:D10,D12:D15)</f>
        <v>30289</v>
      </c>
      <c r="E16" s="1757">
        <f>SUM(E3,E5:E6,E8:E10,E12:E15)</f>
        <v>45299</v>
      </c>
      <c r="F16" s="1757">
        <f>SUM(F3,F5:F6,F8:F10,F12:F15)</f>
        <v>212619</v>
      </c>
      <c r="G16" s="840"/>
      <c r="H16" s="1757">
        <f>SUM(H3,H6,H8:H10,H12:H14,)</f>
        <v>0</v>
      </c>
      <c r="I16" s="1757">
        <f>SUM(I3,I6,I8:I10,I12:I14,)</f>
        <v>0</v>
      </c>
      <c r="J16" s="1757">
        <f>SUM(J3,J6,J8:J10,J12:J14,)</f>
        <v>0</v>
      </c>
      <c r="K16" s="1757">
        <f>(H16+I16)-J16</f>
        <v>0</v>
      </c>
      <c r="L16" s="1757">
        <f>F16-K16</f>
        <v>212619</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38" sqref="A38:F3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66" t="s">
        <v>1972</v>
      </c>
      <c r="B1" s="2467"/>
      <c r="C1" s="2467"/>
      <c r="D1" s="2467"/>
      <c r="E1" s="2467"/>
      <c r="F1" s="2468"/>
      <c r="G1" s="852"/>
    </row>
    <row r="2" spans="1:7" ht="15" customHeight="1" thickBot="1" x14ac:dyDescent="0.25">
      <c r="A2" s="2469" t="s">
        <v>477</v>
      </c>
      <c r="B2" s="2470"/>
      <c r="C2" s="2470"/>
      <c r="D2" s="2470"/>
      <c r="E2" s="2470"/>
      <c r="F2" s="247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72"/>
      <c r="B5" s="2473"/>
      <c r="C5" s="2473"/>
      <c r="D5" s="2473"/>
      <c r="E5" s="2473"/>
      <c r="F5" s="2473"/>
    </row>
    <row r="6" spans="1:7" ht="13.5" customHeight="1" thickBot="1" x14ac:dyDescent="0.25">
      <c r="A6" s="2463" t="s">
        <v>1104</v>
      </c>
      <c r="B6" s="2464"/>
      <c r="C6" s="2464"/>
      <c r="D6" s="2464"/>
      <c r="E6" s="2464"/>
      <c r="F6" s="246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3">
        <f>'Expenditures 15-22'!K114</f>
        <v>9091308</v>
      </c>
      <c r="G8" s="862"/>
    </row>
    <row r="9" spans="1:7" x14ac:dyDescent="0.2">
      <c r="A9" s="866" t="s">
        <v>460</v>
      </c>
      <c r="B9" s="867" t="s">
        <v>1874</v>
      </c>
      <c r="C9" s="868"/>
      <c r="D9" s="866" t="s">
        <v>501</v>
      </c>
      <c r="E9" s="865"/>
      <c r="F9" s="1904">
        <f>'Expenditures 15-22'!K151</f>
        <v>0</v>
      </c>
      <c r="G9" s="869"/>
    </row>
    <row r="10" spans="1:7" x14ac:dyDescent="0.2">
      <c r="A10" s="866" t="s">
        <v>499</v>
      </c>
      <c r="B10" s="867" t="s">
        <v>1875</v>
      </c>
      <c r="C10" s="868"/>
      <c r="D10" s="866" t="s">
        <v>501</v>
      </c>
      <c r="E10" s="865"/>
      <c r="F10" s="1904">
        <f>'Expenditures 15-22'!K174</f>
        <v>0</v>
      </c>
      <c r="G10" s="869"/>
    </row>
    <row r="11" spans="1:7" x14ac:dyDescent="0.2">
      <c r="A11" s="866" t="s">
        <v>461</v>
      </c>
      <c r="B11" s="867" t="s">
        <v>1876</v>
      </c>
      <c r="C11" s="868"/>
      <c r="D11" s="866" t="s">
        <v>501</v>
      </c>
      <c r="E11" s="865"/>
      <c r="F11" s="1904">
        <f>'Expenditures 15-22'!K210</f>
        <v>0</v>
      </c>
      <c r="G11" s="869"/>
    </row>
    <row r="12" spans="1:7" x14ac:dyDescent="0.2">
      <c r="A12" s="866" t="s">
        <v>462</v>
      </c>
      <c r="B12" s="867" t="s">
        <v>1877</v>
      </c>
      <c r="C12" s="868"/>
      <c r="D12" s="866" t="s">
        <v>501</v>
      </c>
      <c r="E12" s="865"/>
      <c r="F12" s="1904">
        <f>'Expenditures 15-22'!K295</f>
        <v>0</v>
      </c>
      <c r="G12" s="869"/>
    </row>
    <row r="13" spans="1:7" x14ac:dyDescent="0.2">
      <c r="A13" s="866" t="s">
        <v>106</v>
      </c>
      <c r="B13" s="867" t="s">
        <v>1878</v>
      </c>
      <c r="C13" s="868"/>
      <c r="D13" s="866" t="s">
        <v>501</v>
      </c>
      <c r="E13" s="865"/>
      <c r="F13" s="1904">
        <f>'Expenditures 15-22'!K342</f>
        <v>0</v>
      </c>
      <c r="G13" s="870"/>
    </row>
    <row r="14" spans="1:7" ht="12" customHeight="1" thickBot="1" x14ac:dyDescent="0.25">
      <c r="A14" s="1767"/>
      <c r="B14" s="1768"/>
      <c r="C14" s="1769"/>
      <c r="D14" s="1770" t="s">
        <v>501</v>
      </c>
      <c r="E14" s="1771" t="s">
        <v>958</v>
      </c>
      <c r="F14" s="1772">
        <f>SUM(F8:F13)</f>
        <v>9091308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5">
        <f>'Revenues 9-14'!F43</f>
        <v>0</v>
      </c>
      <c r="G18" s="862"/>
    </row>
    <row r="19" spans="1:7" x14ac:dyDescent="0.2">
      <c r="A19" s="866" t="s">
        <v>461</v>
      </c>
      <c r="B19" s="867" t="s">
        <v>1011</v>
      </c>
      <c r="C19" s="874">
        <f>'Revenues 9-14'!B47</f>
        <v>1421</v>
      </c>
      <c r="D19" s="875" t="str">
        <f>'Revenues 9-14'!A47</f>
        <v>Summer Sch - Transp. Fees from Pupils or Parents (In State)</v>
      </c>
      <c r="E19" s="876"/>
      <c r="F19" s="1906">
        <f>'Revenues 9-14'!F47</f>
        <v>0</v>
      </c>
      <c r="G19" s="862"/>
    </row>
    <row r="20" spans="1:7" x14ac:dyDescent="0.2">
      <c r="A20" s="866" t="s">
        <v>461</v>
      </c>
      <c r="B20" s="867" t="s">
        <v>1012</v>
      </c>
      <c r="C20" s="872">
        <f>'Revenues 9-14'!B48</f>
        <v>1422</v>
      </c>
      <c r="D20" s="873" t="str">
        <f>'Revenues 9-14'!A48</f>
        <v>Summer Sch - Transp. Fees from Other Districts (In State)</v>
      </c>
      <c r="E20" s="865"/>
      <c r="F20" s="1907">
        <f>'Revenues 9-14'!F48</f>
        <v>0</v>
      </c>
      <c r="G20" s="862"/>
    </row>
    <row r="21" spans="1:7" x14ac:dyDescent="0.2">
      <c r="A21" s="866" t="s">
        <v>461</v>
      </c>
      <c r="B21" s="867" t="s">
        <v>1013</v>
      </c>
      <c r="C21" s="874">
        <f>'Revenues 9-14'!B49</f>
        <v>1423</v>
      </c>
      <c r="D21" s="873" t="str">
        <f>'Revenues 9-14'!A49</f>
        <v>Summer Sch - Transp. Fees from Other Sources (In State)</v>
      </c>
      <c r="E21" s="865"/>
      <c r="F21" s="1908">
        <f>'Revenues 9-14'!F49</f>
        <v>0</v>
      </c>
      <c r="G21" s="862"/>
    </row>
    <row r="22" spans="1:7" x14ac:dyDescent="0.2">
      <c r="A22" s="866" t="s">
        <v>461</v>
      </c>
      <c r="B22" s="867" t="s">
        <v>1014</v>
      </c>
      <c r="C22" s="874">
        <f>'Revenues 9-14'!B50</f>
        <v>1424</v>
      </c>
      <c r="D22" s="873" t="str">
        <f>'Revenues 9-14'!A50</f>
        <v>Summer Sch - Transp. Fees from Other Sources (Out of State)</v>
      </c>
      <c r="E22" s="865"/>
      <c r="F22" s="1908">
        <f>'Revenues 9-14'!F50</f>
        <v>0</v>
      </c>
      <c r="G22" s="862"/>
    </row>
    <row r="23" spans="1:7" x14ac:dyDescent="0.2">
      <c r="A23" s="866" t="s">
        <v>461</v>
      </c>
      <c r="B23" s="867" t="s">
        <v>1015</v>
      </c>
      <c r="C23" s="872">
        <f>'Revenues 9-14'!B52</f>
        <v>1432</v>
      </c>
      <c r="D23" s="873" t="str">
        <f>'Revenues 9-14'!A52</f>
        <v>CTE - Transp Fees from Other Districts (In State)</v>
      </c>
      <c r="E23" s="865"/>
      <c r="F23" s="1908">
        <f>'Revenues 9-14'!F52</f>
        <v>0</v>
      </c>
      <c r="G23" s="862"/>
    </row>
    <row r="24" spans="1:7" x14ac:dyDescent="0.2">
      <c r="A24" s="866" t="s">
        <v>461</v>
      </c>
      <c r="B24" s="867" t="s">
        <v>1016</v>
      </c>
      <c r="C24" s="872">
        <f>'Revenues 9-14'!B56</f>
        <v>1442</v>
      </c>
      <c r="D24" s="873" t="str">
        <f>'Revenues 9-14'!A56</f>
        <v>Special Ed - Transp Fees from Other Districts (In State)</v>
      </c>
      <c r="E24" s="865"/>
      <c r="F24" s="1908">
        <f>'Revenues 9-14'!F56</f>
        <v>0</v>
      </c>
      <c r="G24" s="862"/>
    </row>
    <row r="25" spans="1:7" x14ac:dyDescent="0.2">
      <c r="A25" s="866" t="s">
        <v>461</v>
      </c>
      <c r="B25" s="867" t="s">
        <v>1017</v>
      </c>
      <c r="C25" s="872">
        <f>'Revenues 9-14'!B59</f>
        <v>1451</v>
      </c>
      <c r="D25" s="873" t="str">
        <f>'Revenues 9-14'!A59</f>
        <v>Adult - Transp Fees from Pupils or Parents (In State)</v>
      </c>
      <c r="E25" s="865"/>
      <c r="F25" s="1908">
        <f>'Revenues 9-14'!F59</f>
        <v>0</v>
      </c>
      <c r="G25" s="862"/>
    </row>
    <row r="26" spans="1:7" x14ac:dyDescent="0.2">
      <c r="A26" s="866" t="s">
        <v>461</v>
      </c>
      <c r="B26" s="867" t="s">
        <v>1018</v>
      </c>
      <c r="C26" s="872">
        <f>'Revenues 9-14'!B60</f>
        <v>1452</v>
      </c>
      <c r="D26" s="873" t="str">
        <f>'Revenues 9-14'!A60</f>
        <v>Adult - Transp Fees from Other Districts (In State)</v>
      </c>
      <c r="E26" s="865"/>
      <c r="F26" s="1908">
        <f>'Revenues 9-14'!F60</f>
        <v>0</v>
      </c>
      <c r="G26" s="862"/>
    </row>
    <row r="27" spans="1:7" x14ac:dyDescent="0.2">
      <c r="A27" s="866" t="s">
        <v>461</v>
      </c>
      <c r="B27" s="867" t="s">
        <v>1019</v>
      </c>
      <c r="C27" s="872">
        <f>'Revenues 9-14'!B61</f>
        <v>1453</v>
      </c>
      <c r="D27" s="873" t="str">
        <f>'Revenues 9-14'!A61</f>
        <v>Adult - Transp Fees from Other Sources (In State)</v>
      </c>
      <c r="E27" s="865"/>
      <c r="F27" s="1908">
        <f>'Revenues 9-14'!F61</f>
        <v>0</v>
      </c>
      <c r="G27" s="862"/>
    </row>
    <row r="28" spans="1:7" x14ac:dyDescent="0.2">
      <c r="A28" s="866" t="s">
        <v>461</v>
      </c>
      <c r="B28" s="867" t="s">
        <v>1020</v>
      </c>
      <c r="C28" s="872">
        <f>'Revenues 9-14'!B62</f>
        <v>1454</v>
      </c>
      <c r="D28" s="873" t="str">
        <f>'Revenues 9-14'!A62</f>
        <v>Adult - Transp Fees from Other Sources (Out of State)</v>
      </c>
      <c r="E28" s="865"/>
      <c r="F28" s="1908">
        <f>'Revenues 9-14'!F62</f>
        <v>0</v>
      </c>
      <c r="G28" s="862"/>
    </row>
    <row r="29" spans="1:7" x14ac:dyDescent="0.2">
      <c r="A29" s="866" t="s">
        <v>1097</v>
      </c>
      <c r="B29" s="867" t="s">
        <v>810</v>
      </c>
      <c r="C29" s="877">
        <f>'Revenues 9-14'!B149</f>
        <v>3410</v>
      </c>
      <c r="D29" s="878" t="str">
        <f>'Revenues 9-14'!A149</f>
        <v>Adult Ed (from ICCB)</v>
      </c>
      <c r="E29" s="865"/>
      <c r="F29" s="1908">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09">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08">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08">
        <f>SUM('Revenues 9-14'!D212,'Revenues 9-14'!F212)</f>
        <v>0</v>
      </c>
      <c r="G32" s="862"/>
    </row>
    <row r="33" spans="1:7" x14ac:dyDescent="0.2">
      <c r="A33" s="866" t="s">
        <v>460</v>
      </c>
      <c r="B33" s="867" t="s">
        <v>1999</v>
      </c>
      <c r="C33" s="872">
        <f>'Revenues 9-14'!B222</f>
        <v>4810</v>
      </c>
      <c r="D33" s="880" t="str">
        <f>'Revenues 9-14'!A222</f>
        <v>Federal - Adult Education</v>
      </c>
      <c r="E33" s="865"/>
      <c r="F33" s="1908">
        <f>'Revenues 9-14'!D222</f>
        <v>0</v>
      </c>
      <c r="G33" s="862"/>
    </row>
    <row r="34" spans="1:7" x14ac:dyDescent="0.2">
      <c r="A34" s="866" t="s">
        <v>459</v>
      </c>
      <c r="B34" s="866" t="s">
        <v>1469</v>
      </c>
      <c r="C34" s="883" t="str">
        <f>'Expenditures 15-22'!B7</f>
        <v>1125</v>
      </c>
      <c r="D34" s="884" t="str">
        <f>'Expenditures 15-22'!A7</f>
        <v>Pre-K Programs</v>
      </c>
      <c r="E34" s="865"/>
      <c r="F34" s="190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8">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8">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8">
        <f>'Expenditures 15-22'!K20</f>
        <v>0</v>
      </c>
      <c r="G39" s="862"/>
    </row>
    <row r="40" spans="1:7" x14ac:dyDescent="0.2">
      <c r="A40" s="866" t="s">
        <v>459</v>
      </c>
      <c r="B40" s="866" t="s">
        <v>118</v>
      </c>
      <c r="C40" s="883" t="str">
        <f>'Expenditures 15-22'!B21</f>
        <v>1911</v>
      </c>
      <c r="D40" s="885" t="str">
        <f>'Expenditures 15-22'!A21</f>
        <v>Regular K-12 Programs - Private Tuition</v>
      </c>
      <c r="E40" s="865"/>
      <c r="F40" s="190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8">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8">
        <f>'Expenditures 15-22'!K26</f>
        <v>0</v>
      </c>
      <c r="G45" s="862"/>
    </row>
    <row r="46" spans="1:7" x14ac:dyDescent="0.2">
      <c r="A46" s="866" t="s">
        <v>459</v>
      </c>
      <c r="B46" s="866" t="s">
        <v>124</v>
      </c>
      <c r="C46" s="883" t="str">
        <f>'Expenditures 15-22'!B27</f>
        <v>1917</v>
      </c>
      <c r="D46" s="885" t="str">
        <f>'Expenditures 15-22'!A27</f>
        <v>CTE Programs - Private Tuition</v>
      </c>
      <c r="E46" s="865"/>
      <c r="F46" s="190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8">
        <f>'Expenditures 15-22'!K29</f>
        <v>0</v>
      </c>
      <c r="G48" s="862"/>
    </row>
    <row r="49" spans="1:7" x14ac:dyDescent="0.2">
      <c r="A49" s="866" t="s">
        <v>459</v>
      </c>
      <c r="B49" s="866" t="s">
        <v>127</v>
      </c>
      <c r="C49" s="883" t="str">
        <f>'Expenditures 15-22'!B30</f>
        <v>1920</v>
      </c>
      <c r="D49" s="885" t="str">
        <f>'Expenditures 15-22'!A30</f>
        <v>Gifted Programs - Private Tuition</v>
      </c>
      <c r="E49" s="865"/>
      <c r="F49" s="1908">
        <f>'Expenditures 15-22'!K30</f>
        <v>0</v>
      </c>
      <c r="G49" s="862"/>
    </row>
    <row r="50" spans="1:7" x14ac:dyDescent="0.2">
      <c r="A50" s="866" t="s">
        <v>459</v>
      </c>
      <c r="B50" s="866" t="s">
        <v>128</v>
      </c>
      <c r="C50" s="883" t="str">
        <f>'Expenditures 15-22'!B31</f>
        <v>1921</v>
      </c>
      <c r="D50" s="885" t="str">
        <f>'Expenditures 15-22'!A31</f>
        <v>Bilingual Programs - Private Tuition</v>
      </c>
      <c r="E50" s="865"/>
      <c r="F50" s="190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8">
        <f>'Expenditures 15-22'!K32</f>
        <v>0</v>
      </c>
      <c r="G51" s="862"/>
    </row>
    <row r="52" spans="1:7" x14ac:dyDescent="0.2">
      <c r="A52" s="866" t="s">
        <v>459</v>
      </c>
      <c r="B52" s="866" t="s">
        <v>1474</v>
      </c>
      <c r="C52" s="886" t="str">
        <f>'Expenditures 15-22'!B75</f>
        <v>3000</v>
      </c>
      <c r="D52" s="885" t="s">
        <v>449</v>
      </c>
      <c r="E52" s="865"/>
      <c r="F52" s="1908">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08">
        <f>'Expenditures 15-22'!K102</f>
        <v>196056</v>
      </c>
      <c r="G53" s="862"/>
    </row>
    <row r="54" spans="1:7" x14ac:dyDescent="0.2">
      <c r="A54" s="866" t="s">
        <v>459</v>
      </c>
      <c r="B54" s="866" t="s">
        <v>1476</v>
      </c>
      <c r="C54" s="886" t="s">
        <v>982</v>
      </c>
      <c r="D54" s="882" t="s">
        <v>1095</v>
      </c>
      <c r="E54" s="865"/>
      <c r="F54" s="1908">
        <f>'Expenditures 15-22'!G114</f>
        <v>30289</v>
      </c>
      <c r="G54" s="862"/>
    </row>
    <row r="55" spans="1:7" x14ac:dyDescent="0.2">
      <c r="A55" s="866" t="s">
        <v>459</v>
      </c>
      <c r="B55" s="866" t="s">
        <v>1477</v>
      </c>
      <c r="C55" s="886" t="s">
        <v>982</v>
      </c>
      <c r="D55" s="882" t="s">
        <v>291</v>
      </c>
      <c r="E55" s="865"/>
      <c r="F55" s="1908">
        <f>'Expenditures 15-22'!I114</f>
        <v>0</v>
      </c>
      <c r="G55" s="862"/>
    </row>
    <row r="56" spans="1:7" x14ac:dyDescent="0.2">
      <c r="A56" s="866" t="s">
        <v>460</v>
      </c>
      <c r="B56" s="866" t="s">
        <v>1478</v>
      </c>
      <c r="C56" s="883" t="str">
        <f>'Expenditures 15-22'!B130</f>
        <v>3000</v>
      </c>
      <c r="D56" s="889" t="s">
        <v>449</v>
      </c>
      <c r="E56" s="865"/>
      <c r="F56" s="1908">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08">
        <f>'Expenditures 15-22'!K139</f>
        <v>0</v>
      </c>
      <c r="G57" s="862"/>
    </row>
    <row r="58" spans="1:7" x14ac:dyDescent="0.2">
      <c r="A58" s="866" t="s">
        <v>460</v>
      </c>
      <c r="B58" s="866" t="s">
        <v>1880</v>
      </c>
      <c r="C58" s="883" t="s">
        <v>982</v>
      </c>
      <c r="D58" s="882" t="s">
        <v>1095</v>
      </c>
      <c r="E58" s="865"/>
      <c r="F58" s="1910">
        <f>'Expenditures 15-22'!G151</f>
        <v>0</v>
      </c>
      <c r="G58" s="862"/>
    </row>
    <row r="59" spans="1:7" x14ac:dyDescent="0.2">
      <c r="A59" s="890" t="s">
        <v>460</v>
      </c>
      <c r="B59" s="853" t="s">
        <v>1881</v>
      </c>
      <c r="C59" s="891" t="s">
        <v>982</v>
      </c>
      <c r="D59" s="853" t="s">
        <v>291</v>
      </c>
      <c r="F59" s="1911">
        <f>'Expenditures 15-22'!I151</f>
        <v>0</v>
      </c>
      <c r="G59" s="862"/>
    </row>
    <row r="60" spans="1:7" x14ac:dyDescent="0.2">
      <c r="A60" s="890" t="s">
        <v>499</v>
      </c>
      <c r="B60" s="853" t="s">
        <v>1882</v>
      </c>
      <c r="C60" s="891">
        <v>4000</v>
      </c>
      <c r="D60" s="853" t="s">
        <v>312</v>
      </c>
      <c r="F60" s="1909">
        <f>'Expenditures 15-22'!K160</f>
        <v>0</v>
      </c>
      <c r="G60" s="862"/>
    </row>
    <row r="61" spans="1:7" x14ac:dyDescent="0.2">
      <c r="A61" s="892" t="s">
        <v>499</v>
      </c>
      <c r="B61" s="892" t="s">
        <v>1883</v>
      </c>
      <c r="C61" s="893" t="str">
        <f>'Expenditures 15-22'!B170</f>
        <v>5300</v>
      </c>
      <c r="D61" s="894" t="s">
        <v>311</v>
      </c>
      <c r="E61" s="876"/>
      <c r="F61" s="1908">
        <f>'Expenditures 15-22'!K170</f>
        <v>0</v>
      </c>
      <c r="G61" s="862"/>
    </row>
    <row r="62" spans="1:7" x14ac:dyDescent="0.2">
      <c r="A62" s="866" t="s">
        <v>461</v>
      </c>
      <c r="B62" s="866" t="s">
        <v>1884</v>
      </c>
      <c r="C62" s="883">
        <f>'Expenditures 15-22'!B185</f>
        <v>3000</v>
      </c>
      <c r="D62" s="873" t="s">
        <v>449</v>
      </c>
      <c r="E62" s="865"/>
      <c r="F62" s="1908">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08">
        <f>'Expenditures 15-22'!K196</f>
        <v>0</v>
      </c>
      <c r="G63" s="862"/>
    </row>
    <row r="64" spans="1:7" x14ac:dyDescent="0.2">
      <c r="A64" s="892" t="s">
        <v>461</v>
      </c>
      <c r="B64" s="892" t="s">
        <v>1886</v>
      </c>
      <c r="C64" s="893" t="str">
        <f>'Expenditures 15-22'!B206</f>
        <v>5300</v>
      </c>
      <c r="D64" s="889" t="s">
        <v>311</v>
      </c>
      <c r="E64" s="865"/>
      <c r="F64" s="1908">
        <f>'Expenditures 15-22'!K206</f>
        <v>0</v>
      </c>
      <c r="G64" s="862"/>
    </row>
    <row r="65" spans="1:8" x14ac:dyDescent="0.2">
      <c r="A65" s="866" t="s">
        <v>461</v>
      </c>
      <c r="B65" s="866" t="s">
        <v>1887</v>
      </c>
      <c r="C65" s="883" t="s">
        <v>982</v>
      </c>
      <c r="D65" s="882" t="s">
        <v>1095</v>
      </c>
      <c r="E65" s="865"/>
      <c r="F65" s="1908">
        <f>'Expenditures 15-22'!G210</f>
        <v>0</v>
      </c>
      <c r="G65" s="862"/>
    </row>
    <row r="66" spans="1:8" x14ac:dyDescent="0.2">
      <c r="A66" s="866" t="s">
        <v>461</v>
      </c>
      <c r="B66" s="866" t="s">
        <v>1888</v>
      </c>
      <c r="C66" s="883" t="s">
        <v>982</v>
      </c>
      <c r="D66" s="882" t="s">
        <v>291</v>
      </c>
      <c r="E66" s="865"/>
      <c r="F66" s="1908">
        <f>'Expenditures 15-22'!I210</f>
        <v>0</v>
      </c>
      <c r="G66" s="862"/>
    </row>
    <row r="67" spans="1:8" x14ac:dyDescent="0.2">
      <c r="A67" s="866" t="s">
        <v>462</v>
      </c>
      <c r="B67" s="866" t="s">
        <v>1889</v>
      </c>
      <c r="C67" s="883" t="str">
        <f>'Expenditures 15-22'!B216</f>
        <v>1125</v>
      </c>
      <c r="D67" s="889" t="str">
        <f>'Expenditures 15-22'!A216</f>
        <v>Pre-K Programs</v>
      </c>
      <c r="E67" s="865"/>
      <c r="F67" s="1908">
        <f>'Expenditures 15-22'!K216</f>
        <v>0</v>
      </c>
      <c r="G67" s="862"/>
    </row>
    <row r="68" spans="1:8" x14ac:dyDescent="0.2">
      <c r="A68" s="866" t="s">
        <v>462</v>
      </c>
      <c r="B68" s="866" t="s">
        <v>1479</v>
      </c>
      <c r="C68" s="883" t="str">
        <f>'Expenditures 15-22'!B218</f>
        <v>1225</v>
      </c>
      <c r="D68" s="889" t="str">
        <f>'Expenditures 15-22'!A218</f>
        <v>Special Education Programs - Pre-K</v>
      </c>
      <c r="E68" s="865"/>
      <c r="F68" s="1908">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08">
        <f>'Expenditures 15-22'!K220</f>
        <v>0</v>
      </c>
      <c r="G69" s="862"/>
    </row>
    <row r="70" spans="1:8" x14ac:dyDescent="0.2">
      <c r="A70" s="866" t="s">
        <v>462</v>
      </c>
      <c r="B70" s="866" t="s">
        <v>1891</v>
      </c>
      <c r="C70" s="883">
        <f>'Expenditures 15-22'!B221</f>
        <v>1300</v>
      </c>
      <c r="D70" s="884" t="str">
        <f>'Expenditures 15-22'!A221</f>
        <v>Adult/Continuing Education Programs</v>
      </c>
      <c r="E70" s="865"/>
      <c r="F70" s="1908">
        <f>'Expenditures 15-22'!K221</f>
        <v>0</v>
      </c>
      <c r="G70" s="862"/>
    </row>
    <row r="71" spans="1:8" x14ac:dyDescent="0.2">
      <c r="A71" s="866" t="s">
        <v>462</v>
      </c>
      <c r="B71" s="866" t="s">
        <v>1892</v>
      </c>
      <c r="C71" s="883">
        <f>'Expenditures 15-22'!B224</f>
        <v>1600</v>
      </c>
      <c r="D71" s="884" t="str">
        <f>'Expenditures 15-22'!A224</f>
        <v>Summer School Programs</v>
      </c>
      <c r="E71" s="865"/>
      <c r="F71" s="1908">
        <f>'Expenditures 15-22'!K224</f>
        <v>0</v>
      </c>
      <c r="G71" s="862"/>
    </row>
    <row r="72" spans="1:8" x14ac:dyDescent="0.2">
      <c r="A72" s="866" t="s">
        <v>462</v>
      </c>
      <c r="B72" s="866" t="s">
        <v>1893</v>
      </c>
      <c r="C72" s="883">
        <f>'Expenditures 15-22'!B280</f>
        <v>3000</v>
      </c>
      <c r="D72" s="873" t="s">
        <v>449</v>
      </c>
      <c r="E72" s="865"/>
      <c r="F72" s="1908">
        <f>'Expenditures 15-22'!K280</f>
        <v>0</v>
      </c>
      <c r="G72" s="862"/>
    </row>
    <row r="73" spans="1:8" x14ac:dyDescent="0.2">
      <c r="A73" s="866" t="s">
        <v>462</v>
      </c>
      <c r="B73" s="866" t="s">
        <v>1894</v>
      </c>
      <c r="C73" s="883" t="str">
        <f>'Expenditures 15-22'!B285</f>
        <v>4000</v>
      </c>
      <c r="D73" s="884" t="str">
        <f>'Expenditures 15-22'!A285</f>
        <v>Total Payments to Other Govt Units</v>
      </c>
      <c r="E73" s="865"/>
      <c r="F73" s="1908">
        <f>'Expenditures 15-22'!K285</f>
        <v>0</v>
      </c>
      <c r="G73" s="862"/>
    </row>
    <row r="74" spans="1:8" x14ac:dyDescent="0.2">
      <c r="A74" s="866" t="s">
        <v>436</v>
      </c>
      <c r="B74" s="866" t="s">
        <v>1895</v>
      </c>
      <c r="C74" s="883" t="s">
        <v>860</v>
      </c>
      <c r="D74" s="884" t="s">
        <v>1487</v>
      </c>
      <c r="E74" s="865"/>
      <c r="F74" s="1912">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226345</v>
      </c>
      <c r="G76" s="862"/>
    </row>
    <row r="77" spans="1:8" s="890" customFormat="1" ht="12" customHeight="1" thickTop="1" thickBot="1" x14ac:dyDescent="0.25">
      <c r="A77" s="1776"/>
      <c r="B77" s="1773"/>
      <c r="C77" s="1769"/>
      <c r="D77" s="1774" t="s">
        <v>1897</v>
      </c>
      <c r="E77" s="1771"/>
      <c r="F77" s="1777">
        <f>(F14-F76)</f>
        <v>8864963</v>
      </c>
      <c r="G77" s="866"/>
    </row>
    <row r="78" spans="1:8" s="890" customFormat="1" ht="12" customHeight="1" thickTop="1" x14ac:dyDescent="0.2">
      <c r="A78" s="1778"/>
      <c r="B78" s="1773"/>
      <c r="C78" s="1769"/>
      <c r="D78" s="1774" t="s">
        <v>2059</v>
      </c>
      <c r="E78" s="1771"/>
      <c r="F78" s="895">
        <v>0</v>
      </c>
      <c r="G78" s="896"/>
      <c r="H78" s="866"/>
    </row>
    <row r="79" spans="1:8" s="890" customFormat="1" ht="12" customHeight="1" thickBot="1" x14ac:dyDescent="0.25">
      <c r="A79" s="1779"/>
      <c r="B79" s="1773"/>
      <c r="C79" s="1769"/>
      <c r="D79" s="1774" t="s">
        <v>1898</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463" t="s">
        <v>1105</v>
      </c>
      <c r="B81" s="2464"/>
      <c r="C81" s="2464"/>
      <c r="D81" s="2464"/>
      <c r="E81" s="2464"/>
      <c r="F81" s="246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2">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1470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286332</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0</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672</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0</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2">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2">
        <f>SUM('Revenues 9-14'!C163:G163)</f>
        <v>0</v>
      </c>
      <c r="G118" s="909"/>
    </row>
    <row r="119" spans="1:7" x14ac:dyDescent="0.2">
      <c r="A119" s="920" t="s">
        <v>504</v>
      </c>
      <c r="B119" s="920" t="s">
        <v>2014</v>
      </c>
      <c r="C119" s="921">
        <f>'Revenues 9-14'!B164</f>
        <v>3815</v>
      </c>
      <c r="D119" s="922" t="str">
        <f>'Revenues 9-14'!A164</f>
        <v>State Charter Schools</v>
      </c>
      <c r="E119" s="903"/>
      <c r="F119" s="1902">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0</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6">
        <f>SUM('Revenues 9-14'!C198,'Revenues 9-14'!G198)</f>
        <v>38382</v>
      </c>
      <c r="G125" s="927"/>
    </row>
    <row r="126" spans="1:7" x14ac:dyDescent="0.2">
      <c r="A126" s="924" t="s">
        <v>668</v>
      </c>
      <c r="B126" s="924" t="s">
        <v>2021</v>
      </c>
      <c r="C126" s="929">
        <v>4300</v>
      </c>
      <c r="D126" s="930" t="str">
        <f>'Revenues 9-14'!A204</f>
        <v>Total Title I</v>
      </c>
      <c r="E126" s="903"/>
      <c r="F126" s="1786">
        <f>SUM('Revenues 9-14'!C204,'Revenues 9-14'!D204,'Revenues 9-14'!F204,'Revenues 9-14'!G204)</f>
        <v>0</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3802018</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2">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2">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2">
        <f>SUM('Revenues 9-14'!C259,'Revenues 9-14'!D259,'Revenues 9-14'!F259,'Revenues 9-14'!G259)</f>
        <v>0</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39444</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239776</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3" t="s">
        <v>5</v>
      </c>
      <c r="B171" s="1914" t="s">
        <v>1917</v>
      </c>
      <c r="C171" s="1915">
        <v>3100</v>
      </c>
      <c r="D171" s="1916" t="s">
        <v>1919</v>
      </c>
      <c r="E171" s="903"/>
      <c r="F171" s="1901"/>
      <c r="G171" s="924"/>
    </row>
    <row r="172" spans="1:7" x14ac:dyDescent="0.2">
      <c r="A172" s="1913" t="s">
        <v>664</v>
      </c>
      <c r="B172" s="1914" t="s">
        <v>1917</v>
      </c>
      <c r="C172" s="1915">
        <v>3300</v>
      </c>
      <c r="D172" s="1916" t="s">
        <v>1920</v>
      </c>
      <c r="E172" s="903"/>
      <c r="F172" s="1901"/>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4408094</v>
      </c>
    </row>
    <row r="175" spans="1:7" ht="12" customHeight="1" x14ac:dyDescent="0.2">
      <c r="A175" s="1767"/>
      <c r="B175" s="1781"/>
      <c r="C175" s="1782"/>
      <c r="D175" s="1783" t="s">
        <v>2054</v>
      </c>
      <c r="E175" s="1784"/>
      <c r="F175" s="1786">
        <f>'PCTC-OEPP 27-28'!F77-F174</f>
        <v>4456869</v>
      </c>
    </row>
    <row r="176" spans="1:7" ht="12" customHeight="1" x14ac:dyDescent="0.2">
      <c r="A176" s="1767"/>
      <c r="B176" s="1781"/>
      <c r="C176" s="1782"/>
      <c r="D176" s="1783" t="s">
        <v>1814</v>
      </c>
      <c r="E176" s="1784"/>
      <c r="F176" s="1786">
        <f>'Cap Outlay Deprec 26'!I18</f>
        <v>0</v>
      </c>
    </row>
    <row r="177" spans="1:7" ht="12" customHeight="1" x14ac:dyDescent="0.2">
      <c r="A177" s="1767"/>
      <c r="B177" s="1781"/>
      <c r="C177" s="1782"/>
      <c r="D177" s="1783" t="s">
        <v>2055</v>
      </c>
      <c r="E177" s="1784"/>
      <c r="F177" s="1786">
        <f>F175+F176</f>
        <v>4456869</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2056</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7" customFormat="1" ht="12.2" customHeight="1" x14ac:dyDescent="0.2">
      <c r="A182" s="1917" t="s">
        <v>1991</v>
      </c>
      <c r="B182" s="1918"/>
      <c r="C182" s="1919"/>
      <c r="D182" s="1918"/>
      <c r="E182" s="1919"/>
      <c r="F182" s="1918"/>
      <c r="G182" s="1918"/>
    </row>
    <row r="183" spans="1:7" s="1917" customFormat="1" ht="12.2" customHeight="1" x14ac:dyDescent="0.2">
      <c r="A183" s="1920" t="s">
        <v>1993</v>
      </c>
      <c r="C183" s="1919"/>
      <c r="D183" s="1918"/>
      <c r="E183" s="1919"/>
      <c r="F183" s="1918"/>
      <c r="G183" s="1918"/>
    </row>
    <row r="184" spans="1:7" ht="12" customHeight="1" x14ac:dyDescent="0.2">
      <c r="C184" s="946"/>
      <c r="D184" s="927"/>
      <c r="E184" s="946"/>
      <c r="F184" s="927"/>
      <c r="G184" s="927"/>
    </row>
    <row r="185" spans="1:7" x14ac:dyDescent="0.2">
      <c r="A185" s="1921" t="s">
        <v>1922</v>
      </c>
      <c r="B185" s="1922"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38" sqref="A38:F3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477" t="s">
        <v>1815</v>
      </c>
      <c r="B4" s="2478"/>
      <c r="C4" s="2478"/>
      <c r="D4" s="2478"/>
      <c r="E4" s="2478"/>
      <c r="F4" s="2478"/>
      <c r="G4" s="2479"/>
    </row>
    <row r="5" spans="1:7" x14ac:dyDescent="0.25">
      <c r="A5" s="2480"/>
      <c r="B5" s="2481"/>
      <c r="C5" s="2481"/>
      <c r="D5" s="2481"/>
      <c r="E5" s="2481"/>
      <c r="F5" s="2481"/>
      <c r="G5" s="2482"/>
    </row>
    <row r="6" spans="1:7" ht="18.75" x14ac:dyDescent="0.25">
      <c r="A6" s="1531" t="s">
        <v>1816</v>
      </c>
      <c r="B6" s="1532"/>
      <c r="C6" s="1532"/>
      <c r="D6" s="1532"/>
      <c r="E6" s="1532"/>
      <c r="F6" s="1532"/>
      <c r="G6" s="1533"/>
    </row>
    <row r="7" spans="1:7" ht="30.75" customHeight="1" x14ac:dyDescent="0.25">
      <c r="A7" s="2483" t="s">
        <v>1929</v>
      </c>
      <c r="B7" s="2484"/>
      <c r="C7" s="2484"/>
      <c r="D7" s="2484"/>
      <c r="E7" s="2484"/>
      <c r="F7" s="2484"/>
      <c r="G7" s="2485"/>
    </row>
    <row r="8" spans="1:7" ht="15.75" customHeight="1" x14ac:dyDescent="0.25">
      <c r="A8" s="2486" t="s">
        <v>1904</v>
      </c>
      <c r="B8" s="2487"/>
      <c r="C8" s="2487"/>
      <c r="D8" s="2487"/>
      <c r="E8" s="2487"/>
      <c r="F8" s="2487"/>
      <c r="G8" s="2488"/>
    </row>
    <row r="9" spans="1:7" ht="35.25" customHeight="1" x14ac:dyDescent="0.25">
      <c r="A9" s="2483" t="s">
        <v>1932</v>
      </c>
      <c r="B9" s="2484"/>
      <c r="C9" s="2484"/>
      <c r="D9" s="2484"/>
      <c r="E9" s="2484"/>
      <c r="F9" s="2484"/>
      <c r="G9" s="2485"/>
    </row>
    <row r="10" spans="1:7" ht="15" customHeight="1" x14ac:dyDescent="0.25">
      <c r="A10" s="1534" t="s">
        <v>1817</v>
      </c>
      <c r="B10" s="1535"/>
      <c r="C10" s="1535"/>
      <c r="D10" s="1535"/>
      <c r="E10" s="1535"/>
      <c r="F10" s="1535"/>
      <c r="G10" s="1536"/>
    </row>
    <row r="11" spans="1:7" ht="17.25" customHeight="1" x14ac:dyDescent="0.25">
      <c r="A11" s="2483" t="s">
        <v>1931</v>
      </c>
      <c r="B11" s="2484"/>
      <c r="C11" s="2484"/>
      <c r="D11" s="2484"/>
      <c r="E11" s="2484"/>
      <c r="F11" s="2484"/>
      <c r="G11" s="2485"/>
    </row>
    <row r="12" spans="1:7" ht="15" customHeight="1" x14ac:dyDescent="0.25">
      <c r="A12" s="1534" t="s">
        <v>1822</v>
      </c>
      <c r="B12" s="1535"/>
      <c r="C12" s="1535"/>
      <c r="D12" s="1535"/>
      <c r="E12" s="1535"/>
      <c r="F12" s="1535"/>
      <c r="G12" s="1536"/>
    </row>
    <row r="13" spans="1:7" ht="32.25" customHeight="1" x14ac:dyDescent="0.25">
      <c r="A13" s="2474" t="s">
        <v>1973</v>
      </c>
      <c r="B13" s="2475"/>
      <c r="C13" s="2475"/>
      <c r="D13" s="2475"/>
      <c r="E13" s="2475"/>
      <c r="F13" s="2475"/>
      <c r="G13" s="2476"/>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138" t="s">
        <v>2215</v>
      </c>
      <c r="B17" s="2139" t="s">
        <v>2211</v>
      </c>
      <c r="C17" s="2140" t="s">
        <v>2212</v>
      </c>
      <c r="D17" s="1841">
        <v>42875</v>
      </c>
      <c r="E17" s="1537">
        <f t="shared" ref="E17:E141" si="0">IF(D17&lt;=25000,D17,IF(D17&gt;25000,25000,0))</f>
        <v>25000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17875</v>
      </c>
      <c r="H17" s="1644"/>
    </row>
    <row r="18" spans="1:8" x14ac:dyDescent="0.25">
      <c r="A18" s="2138" t="s">
        <v>2216</v>
      </c>
      <c r="B18" s="2139" t="s">
        <v>2214</v>
      </c>
      <c r="C18" s="2140" t="s">
        <v>2213</v>
      </c>
      <c r="D18" s="1841">
        <v>50000</v>
      </c>
      <c r="E18" s="1537">
        <f t="shared" ref="E18:E140" si="2">IF(D18&lt;=25000,D18,IF(D18&gt;25000,25000,0))</f>
        <v>25000</v>
      </c>
      <c r="F18" s="1927">
        <f t="shared" si="1"/>
        <v>25000</v>
      </c>
      <c r="G18" s="1790">
        <f t="shared" ref="G18:G140" si="3">IF(F18=0,0,D18-F18)</f>
        <v>25000</v>
      </c>
    </row>
    <row r="19" spans="1:8" x14ac:dyDescent="0.25">
      <c r="A19" s="1650"/>
      <c r="B19" s="1929"/>
      <c r="C19" s="1653"/>
      <c r="D19" s="1841"/>
      <c r="E19" s="1537">
        <f t="shared" si="2"/>
        <v>0</v>
      </c>
      <c r="F19" s="1927">
        <f t="shared" si="1"/>
        <v>0</v>
      </c>
      <c r="G19" s="1790">
        <f t="shared" si="3"/>
        <v>0</v>
      </c>
    </row>
    <row r="20" spans="1:8" x14ac:dyDescent="0.25">
      <c r="A20" s="1650"/>
      <c r="B20" s="1929"/>
      <c r="C20" s="1653"/>
      <c r="D20" s="1841"/>
      <c r="E20" s="1537">
        <f t="shared" si="2"/>
        <v>0</v>
      </c>
      <c r="F20" s="1927">
        <f t="shared" si="1"/>
        <v>0</v>
      </c>
      <c r="G20" s="1790">
        <f t="shared" si="3"/>
        <v>0</v>
      </c>
    </row>
    <row r="21" spans="1:8" x14ac:dyDescent="0.25">
      <c r="A21" s="1650"/>
      <c r="B21" s="1929"/>
      <c r="C21" s="1653"/>
      <c r="D21" s="1841"/>
      <c r="E21" s="1537">
        <f t="shared" si="2"/>
        <v>0</v>
      </c>
      <c r="F21" s="1927">
        <f t="shared" si="1"/>
        <v>0</v>
      </c>
      <c r="G21" s="1790">
        <f t="shared" si="3"/>
        <v>0</v>
      </c>
    </row>
    <row r="22" spans="1:8" x14ac:dyDescent="0.25">
      <c r="A22" s="1650"/>
      <c r="B22" s="1929"/>
      <c r="C22" s="1653"/>
      <c r="D22" s="1841"/>
      <c r="E22" s="1537">
        <f t="shared" si="2"/>
        <v>0</v>
      </c>
      <c r="F22" s="1927">
        <f t="shared" si="1"/>
        <v>0</v>
      </c>
      <c r="G22" s="1790">
        <f t="shared" si="3"/>
        <v>0</v>
      </c>
    </row>
    <row r="23" spans="1:8" x14ac:dyDescent="0.25">
      <c r="A23" s="1650"/>
      <c r="B23" s="1929"/>
      <c r="C23" s="1653"/>
      <c r="D23" s="1841"/>
      <c r="E23" s="1537">
        <f t="shared" si="2"/>
        <v>0</v>
      </c>
      <c r="F23" s="1927">
        <f t="shared" si="1"/>
        <v>0</v>
      </c>
      <c r="G23" s="1790">
        <f t="shared" si="3"/>
        <v>0</v>
      </c>
    </row>
    <row r="24" spans="1:8" x14ac:dyDescent="0.25">
      <c r="A24" s="1650"/>
      <c r="B24" s="1929"/>
      <c r="C24" s="1653"/>
      <c r="D24" s="1841"/>
      <c r="E24" s="1537">
        <f t="shared" si="2"/>
        <v>0</v>
      </c>
      <c r="F24" s="1927">
        <f t="shared" si="1"/>
        <v>0</v>
      </c>
      <c r="G24" s="1790">
        <f t="shared" si="3"/>
        <v>0</v>
      </c>
    </row>
    <row r="25" spans="1:8" x14ac:dyDescent="0.25">
      <c r="A25" s="1650"/>
      <c r="B25" s="1929"/>
      <c r="C25" s="1653"/>
      <c r="D25" s="1841"/>
      <c r="E25" s="1537">
        <f t="shared" si="2"/>
        <v>0</v>
      </c>
      <c r="F25" s="1927">
        <f t="shared" si="1"/>
        <v>0</v>
      </c>
      <c r="G25" s="1790">
        <f t="shared" si="3"/>
        <v>0</v>
      </c>
    </row>
    <row r="26" spans="1:8" x14ac:dyDescent="0.25">
      <c r="A26" s="1650"/>
      <c r="B26" s="1929"/>
      <c r="C26" s="1651"/>
      <c r="D26" s="1841"/>
      <c r="E26" s="1537">
        <f t="shared" si="2"/>
        <v>0</v>
      </c>
      <c r="F26" s="1927">
        <f t="shared" si="1"/>
        <v>0</v>
      </c>
      <c r="G26" s="1790">
        <f t="shared" si="3"/>
        <v>0</v>
      </c>
    </row>
    <row r="27" spans="1:8" x14ac:dyDescent="0.25">
      <c r="A27" s="1650"/>
      <c r="B27" s="1929"/>
      <c r="C27" s="1651"/>
      <c r="D27" s="1841"/>
      <c r="E27" s="1537">
        <f t="shared" si="2"/>
        <v>0</v>
      </c>
      <c r="F27" s="1927">
        <f t="shared" si="1"/>
        <v>0</v>
      </c>
      <c r="G27" s="1790">
        <f t="shared" si="3"/>
        <v>0</v>
      </c>
    </row>
    <row r="28" spans="1:8" x14ac:dyDescent="0.25">
      <c r="A28" s="1650"/>
      <c r="B28" s="1929"/>
      <c r="C28" s="1651"/>
      <c r="D28" s="1841"/>
      <c r="E28" s="1537">
        <f t="shared" si="2"/>
        <v>0</v>
      </c>
      <c r="F28" s="1927">
        <f t="shared" si="1"/>
        <v>0</v>
      </c>
      <c r="G28" s="1790">
        <f t="shared" si="3"/>
        <v>0</v>
      </c>
    </row>
    <row r="29" spans="1:8" x14ac:dyDescent="0.25">
      <c r="A29" s="1650"/>
      <c r="B29" s="1929"/>
      <c r="C29" s="1651"/>
      <c r="D29" s="1841"/>
      <c r="E29" s="1537">
        <f t="shared" si="2"/>
        <v>0</v>
      </c>
      <c r="F29" s="1927">
        <f t="shared" si="1"/>
        <v>0</v>
      </c>
      <c r="G29" s="1790">
        <f t="shared" si="3"/>
        <v>0</v>
      </c>
    </row>
    <row r="30" spans="1:8" x14ac:dyDescent="0.25">
      <c r="A30" s="1650"/>
      <c r="B30" s="1929"/>
      <c r="C30" s="1651"/>
      <c r="D30" s="1841"/>
      <c r="E30" s="1537">
        <f t="shared" si="2"/>
        <v>0</v>
      </c>
      <c r="F30" s="1927">
        <f t="shared" si="1"/>
        <v>0</v>
      </c>
      <c r="G30" s="1790">
        <f t="shared" si="3"/>
        <v>0</v>
      </c>
    </row>
    <row r="31" spans="1:8" x14ac:dyDescent="0.25">
      <c r="A31" s="1650"/>
      <c r="B31" s="1929"/>
      <c r="C31" s="1651"/>
      <c r="D31" s="1841"/>
      <c r="E31" s="1537">
        <f t="shared" si="2"/>
        <v>0</v>
      </c>
      <c r="F31" s="1927">
        <f t="shared" si="1"/>
        <v>0</v>
      </c>
      <c r="G31" s="1790">
        <f t="shared" si="3"/>
        <v>0</v>
      </c>
    </row>
    <row r="32" spans="1:8" x14ac:dyDescent="0.25">
      <c r="A32" s="1650"/>
      <c r="B32" s="1929"/>
      <c r="C32" s="1651"/>
      <c r="D32" s="1841"/>
      <c r="E32" s="1537">
        <f t="shared" si="2"/>
        <v>0</v>
      </c>
      <c r="F32" s="1927">
        <f t="shared" si="1"/>
        <v>0</v>
      </c>
      <c r="G32" s="1790">
        <f t="shared" si="3"/>
        <v>0</v>
      </c>
    </row>
    <row r="33" spans="1:7" x14ac:dyDescent="0.25">
      <c r="A33" s="1650"/>
      <c r="B33" s="1929"/>
      <c r="C33" s="1651"/>
      <c r="D33" s="1841"/>
      <c r="E33" s="1537">
        <f t="shared" si="2"/>
        <v>0</v>
      </c>
      <c r="F33" s="1927">
        <f t="shared" si="1"/>
        <v>0</v>
      </c>
      <c r="G33" s="1790">
        <f t="shared" si="3"/>
        <v>0</v>
      </c>
    </row>
    <row r="34" spans="1:7" x14ac:dyDescent="0.25">
      <c r="A34" s="1650"/>
      <c r="B34" s="1929"/>
      <c r="C34" s="1651"/>
      <c r="D34" s="1841"/>
      <c r="E34" s="1537">
        <f t="shared" si="2"/>
        <v>0</v>
      </c>
      <c r="F34" s="1927">
        <f t="shared" si="1"/>
        <v>0</v>
      </c>
      <c r="G34" s="1790">
        <f t="shared" si="3"/>
        <v>0</v>
      </c>
    </row>
    <row r="35" spans="1:7" x14ac:dyDescent="0.25">
      <c r="A35" s="1650"/>
      <c r="B35" s="1929"/>
      <c r="C35" s="1651"/>
      <c r="D35" s="1841"/>
      <c r="E35" s="1537">
        <f t="shared" si="2"/>
        <v>0</v>
      </c>
      <c r="F35" s="1927">
        <f t="shared" si="1"/>
        <v>0</v>
      </c>
      <c r="G35" s="1790">
        <f t="shared" si="3"/>
        <v>0</v>
      </c>
    </row>
    <row r="36" spans="1:7" x14ac:dyDescent="0.25">
      <c r="A36" s="1650"/>
      <c r="B36" s="1929"/>
      <c r="C36" s="1651"/>
      <c r="D36" s="1841"/>
      <c r="E36" s="1537">
        <f t="shared" si="2"/>
        <v>0</v>
      </c>
      <c r="F36" s="1927">
        <f t="shared" si="1"/>
        <v>0</v>
      </c>
      <c r="G36" s="1790">
        <f t="shared" si="3"/>
        <v>0</v>
      </c>
    </row>
    <row r="37" spans="1:7" x14ac:dyDescent="0.25">
      <c r="A37" s="1650"/>
      <c r="B37" s="1929"/>
      <c r="C37" s="1651"/>
      <c r="D37" s="1841"/>
      <c r="E37" s="1537">
        <f t="shared" si="2"/>
        <v>0</v>
      </c>
      <c r="F37" s="1927">
        <f t="shared" si="1"/>
        <v>0</v>
      </c>
      <c r="G37" s="1790">
        <f t="shared" si="3"/>
        <v>0</v>
      </c>
    </row>
    <row r="38" spans="1:7" x14ac:dyDescent="0.25">
      <c r="A38" s="1650"/>
      <c r="B38" s="1930"/>
      <c r="C38" s="1651"/>
      <c r="D38" s="1841"/>
      <c r="E38" s="1537">
        <f t="shared" si="2"/>
        <v>0</v>
      </c>
      <c r="F38" s="1927">
        <f t="shared" si="1"/>
        <v>0</v>
      </c>
      <c r="G38" s="1790">
        <f t="shared" si="3"/>
        <v>0</v>
      </c>
    </row>
    <row r="39" spans="1:7" x14ac:dyDescent="0.25">
      <c r="A39" s="1650"/>
      <c r="B39" s="1930"/>
      <c r="C39" s="1651"/>
      <c r="D39" s="1841"/>
      <c r="E39" s="1537">
        <f t="shared" si="2"/>
        <v>0</v>
      </c>
      <c r="F39" s="1927">
        <f t="shared" si="1"/>
        <v>0</v>
      </c>
      <c r="G39" s="1790">
        <f t="shared" si="3"/>
        <v>0</v>
      </c>
    </row>
    <row r="40" spans="1:7" x14ac:dyDescent="0.25">
      <c r="A40" s="1650"/>
      <c r="B40" s="1930"/>
      <c r="C40" s="1651"/>
      <c r="D40" s="1841"/>
      <c r="E40" s="1537">
        <f t="shared" si="2"/>
        <v>0</v>
      </c>
      <c r="F40" s="1927">
        <f t="shared" si="1"/>
        <v>0</v>
      </c>
      <c r="G40" s="1790">
        <f t="shared" si="3"/>
        <v>0</v>
      </c>
    </row>
    <row r="41" spans="1:7" x14ac:dyDescent="0.25">
      <c r="A41" s="1650"/>
      <c r="B41" s="1930"/>
      <c r="C41" s="1651"/>
      <c r="D41" s="1841"/>
      <c r="E41" s="1537">
        <f t="shared" si="2"/>
        <v>0</v>
      </c>
      <c r="F41" s="1927">
        <f t="shared" si="1"/>
        <v>0</v>
      </c>
      <c r="G41" s="1790">
        <f t="shared" si="3"/>
        <v>0</v>
      </c>
    </row>
    <row r="42" spans="1:7" x14ac:dyDescent="0.25">
      <c r="A42" s="1650"/>
      <c r="B42" s="1930"/>
      <c r="C42" s="1651"/>
      <c r="D42" s="1841"/>
      <c r="E42" s="1537">
        <f t="shared" si="2"/>
        <v>0</v>
      </c>
      <c r="F42" s="1927">
        <f t="shared" si="1"/>
        <v>0</v>
      </c>
      <c r="G42" s="1790">
        <f t="shared" si="3"/>
        <v>0</v>
      </c>
    </row>
    <row r="43" spans="1:7" x14ac:dyDescent="0.25">
      <c r="A43" s="1650"/>
      <c r="B43" s="1930"/>
      <c r="C43" s="1651"/>
      <c r="D43" s="1841"/>
      <c r="E43" s="1537">
        <f t="shared" si="2"/>
        <v>0</v>
      </c>
      <c r="F43" s="1927">
        <f t="shared" si="1"/>
        <v>0</v>
      </c>
      <c r="G43" s="1790">
        <f t="shared" si="3"/>
        <v>0</v>
      </c>
    </row>
    <row r="44" spans="1:7" x14ac:dyDescent="0.25">
      <c r="A44" s="1650"/>
      <c r="B44" s="1930"/>
      <c r="C44" s="1651"/>
      <c r="D44" s="1841"/>
      <c r="E44" s="1537">
        <f t="shared" si="2"/>
        <v>0</v>
      </c>
      <c r="F44" s="1927">
        <f t="shared" si="1"/>
        <v>0</v>
      </c>
      <c r="G44" s="1790">
        <f t="shared" si="3"/>
        <v>0</v>
      </c>
    </row>
    <row r="45" spans="1:7" x14ac:dyDescent="0.25">
      <c r="A45" s="1650"/>
      <c r="B45" s="1930"/>
      <c r="C45" s="1651"/>
      <c r="D45" s="1841"/>
      <c r="E45" s="1537">
        <f t="shared" si="2"/>
        <v>0</v>
      </c>
      <c r="F45" s="1927">
        <f t="shared" si="1"/>
        <v>0</v>
      </c>
      <c r="G45" s="1790">
        <f t="shared" si="3"/>
        <v>0</v>
      </c>
    </row>
    <row r="46" spans="1:7" x14ac:dyDescent="0.25">
      <c r="A46" s="1650"/>
      <c r="B46" s="1664"/>
      <c r="C46" s="1651"/>
      <c r="D46" s="1841"/>
      <c r="E46" s="1537">
        <f t="shared" si="2"/>
        <v>0</v>
      </c>
      <c r="F46" s="1927">
        <f t="shared" si="1"/>
        <v>0</v>
      </c>
      <c r="G46" s="1790">
        <f t="shared" si="3"/>
        <v>0</v>
      </c>
    </row>
    <row r="47" spans="1:7" x14ac:dyDescent="0.25">
      <c r="A47" s="1650"/>
      <c r="B47" s="1664"/>
      <c r="C47" s="1651"/>
      <c r="D47" s="1841"/>
      <c r="E47" s="1537">
        <f t="shared" si="2"/>
        <v>0</v>
      </c>
      <c r="F47" s="1927">
        <f t="shared" si="1"/>
        <v>0</v>
      </c>
      <c r="G47" s="1790">
        <f t="shared" si="3"/>
        <v>0</v>
      </c>
    </row>
    <row r="48" spans="1:7" x14ac:dyDescent="0.25">
      <c r="A48" s="1650"/>
      <c r="B48" s="1664"/>
      <c r="C48" s="1651"/>
      <c r="D48" s="1841"/>
      <c r="E48" s="1537">
        <f t="shared" si="2"/>
        <v>0</v>
      </c>
      <c r="F48" s="1927">
        <f t="shared" si="1"/>
        <v>0</v>
      </c>
      <c r="G48" s="1790">
        <f t="shared" si="3"/>
        <v>0</v>
      </c>
    </row>
    <row r="49" spans="1:7" x14ac:dyDescent="0.25">
      <c r="A49" s="1650"/>
      <c r="B49" s="1664"/>
      <c r="C49" s="1651"/>
      <c r="D49" s="1841"/>
      <c r="E49" s="1537">
        <f t="shared" si="2"/>
        <v>0</v>
      </c>
      <c r="F49" s="1927">
        <f t="shared" si="1"/>
        <v>0</v>
      </c>
      <c r="G49" s="1790">
        <f t="shared" si="3"/>
        <v>0</v>
      </c>
    </row>
    <row r="50" spans="1:7" x14ac:dyDescent="0.25">
      <c r="A50" s="1650"/>
      <c r="B50" s="1664"/>
      <c r="C50" s="1651"/>
      <c r="D50" s="1841"/>
      <c r="E50" s="1537">
        <f t="shared" si="2"/>
        <v>0</v>
      </c>
      <c r="F50" s="1927">
        <f t="shared" si="1"/>
        <v>0</v>
      </c>
      <c r="G50" s="1790">
        <f t="shared" si="3"/>
        <v>0</v>
      </c>
    </row>
    <row r="51" spans="1:7" x14ac:dyDescent="0.25">
      <c r="A51" s="1650"/>
      <c r="B51" s="1664"/>
      <c r="C51" s="1651"/>
      <c r="D51" s="1841"/>
      <c r="E51" s="1537">
        <f t="shared" si="2"/>
        <v>0</v>
      </c>
      <c r="F51" s="1927">
        <f t="shared" si="1"/>
        <v>0</v>
      </c>
      <c r="G51" s="1790">
        <f t="shared" si="3"/>
        <v>0</v>
      </c>
    </row>
    <row r="52" spans="1:7" x14ac:dyDescent="0.25">
      <c r="A52" s="1650"/>
      <c r="B52" s="1664"/>
      <c r="C52" s="1651"/>
      <c r="D52" s="1841"/>
      <c r="E52" s="1537">
        <f t="shared" si="2"/>
        <v>0</v>
      </c>
      <c r="F52" s="1927">
        <f t="shared" si="1"/>
        <v>0</v>
      </c>
      <c r="G52" s="1790">
        <f t="shared" si="3"/>
        <v>0</v>
      </c>
    </row>
    <row r="53" spans="1:7" x14ac:dyDescent="0.25">
      <c r="A53" s="1650"/>
      <c r="B53" s="1664"/>
      <c r="C53" s="1651"/>
      <c r="D53" s="1841"/>
      <c r="E53" s="1537">
        <f t="shared" si="2"/>
        <v>0</v>
      </c>
      <c r="F53" s="1927">
        <f t="shared" si="1"/>
        <v>0</v>
      </c>
      <c r="G53" s="1790">
        <f t="shared" si="3"/>
        <v>0</v>
      </c>
    </row>
    <row r="54" spans="1:7" x14ac:dyDescent="0.25">
      <c r="A54" s="1650"/>
      <c r="B54" s="1664"/>
      <c r="C54" s="1651"/>
      <c r="D54" s="1841"/>
      <c r="E54" s="1537">
        <f t="shared" si="2"/>
        <v>0</v>
      </c>
      <c r="F54" s="1927">
        <f t="shared" si="1"/>
        <v>0</v>
      </c>
      <c r="G54" s="1790">
        <f t="shared" si="3"/>
        <v>0</v>
      </c>
    </row>
    <row r="55" spans="1:7" x14ac:dyDescent="0.25">
      <c r="A55" s="1650"/>
      <c r="B55" s="1664"/>
      <c r="C55" s="1651"/>
      <c r="D55" s="1841"/>
      <c r="E55" s="1537">
        <f t="shared" si="2"/>
        <v>0</v>
      </c>
      <c r="F55" s="1927">
        <f t="shared" si="1"/>
        <v>0</v>
      </c>
      <c r="G55" s="1790">
        <f t="shared" si="3"/>
        <v>0</v>
      </c>
    </row>
    <row r="56" spans="1:7" x14ac:dyDescent="0.25">
      <c r="A56" s="1650"/>
      <c r="B56" s="1664"/>
      <c r="C56" s="1651"/>
      <c r="D56" s="1841"/>
      <c r="E56" s="1537">
        <f t="shared" si="2"/>
        <v>0</v>
      </c>
      <c r="F56" s="1927">
        <f t="shared" si="1"/>
        <v>0</v>
      </c>
      <c r="G56" s="1790">
        <f t="shared" si="3"/>
        <v>0</v>
      </c>
    </row>
    <row r="57" spans="1:7" x14ac:dyDescent="0.25">
      <c r="A57" s="1650"/>
      <c r="B57" s="1664"/>
      <c r="C57" s="1651"/>
      <c r="D57" s="1841"/>
      <c r="E57" s="1537">
        <f t="shared" si="2"/>
        <v>0</v>
      </c>
      <c r="F57" s="1927">
        <f t="shared" si="1"/>
        <v>0</v>
      </c>
      <c r="G57" s="1790">
        <f t="shared" si="3"/>
        <v>0</v>
      </c>
    </row>
    <row r="58" spans="1:7" x14ac:dyDescent="0.25">
      <c r="A58" s="1650"/>
      <c r="B58" s="1664"/>
      <c r="C58" s="1651"/>
      <c r="D58" s="1841"/>
      <c r="E58" s="1537">
        <f t="shared" si="2"/>
        <v>0</v>
      </c>
      <c r="F58" s="1927">
        <f t="shared" si="1"/>
        <v>0</v>
      </c>
      <c r="G58" s="1790">
        <f t="shared" si="3"/>
        <v>0</v>
      </c>
    </row>
    <row r="59" spans="1:7" x14ac:dyDescent="0.25">
      <c r="A59" s="1650"/>
      <c r="B59" s="1664"/>
      <c r="C59" s="1651"/>
      <c r="D59" s="1841"/>
      <c r="E59" s="1537">
        <f t="shared" si="2"/>
        <v>0</v>
      </c>
      <c r="F59" s="1927">
        <f t="shared" si="1"/>
        <v>0</v>
      </c>
      <c r="G59" s="1790">
        <f t="shared" si="3"/>
        <v>0</v>
      </c>
    </row>
    <row r="60" spans="1:7" x14ac:dyDescent="0.25">
      <c r="A60" s="1650"/>
      <c r="B60" s="1664"/>
      <c r="C60" s="1651"/>
      <c r="D60" s="1841"/>
      <c r="E60" s="1537">
        <f t="shared" si="2"/>
        <v>0</v>
      </c>
      <c r="F60" s="1927">
        <f t="shared" si="1"/>
        <v>0</v>
      </c>
      <c r="G60" s="1790">
        <f t="shared" si="3"/>
        <v>0</v>
      </c>
    </row>
    <row r="61" spans="1:7" x14ac:dyDescent="0.25">
      <c r="A61" s="1650"/>
      <c r="B61" s="1664"/>
      <c r="C61" s="1651"/>
      <c r="D61" s="1841"/>
      <c r="E61" s="1537">
        <f t="shared" si="2"/>
        <v>0</v>
      </c>
      <c r="F61" s="1927">
        <f t="shared" si="1"/>
        <v>0</v>
      </c>
      <c r="G61" s="1790">
        <f t="shared" si="3"/>
        <v>0</v>
      </c>
    </row>
    <row r="62" spans="1:7" x14ac:dyDescent="0.25">
      <c r="A62" s="1650"/>
      <c r="B62" s="1664"/>
      <c r="C62" s="1651"/>
      <c r="D62" s="1841"/>
      <c r="E62" s="1537">
        <f t="shared" si="2"/>
        <v>0</v>
      </c>
      <c r="F62" s="1927">
        <f t="shared" si="1"/>
        <v>0</v>
      </c>
      <c r="G62" s="1790">
        <f t="shared" si="3"/>
        <v>0</v>
      </c>
    </row>
    <row r="63" spans="1:7" x14ac:dyDescent="0.25">
      <c r="A63" s="1650"/>
      <c r="B63" s="1664"/>
      <c r="C63" s="1651"/>
      <c r="D63" s="1841"/>
      <c r="E63" s="1537">
        <f t="shared" si="2"/>
        <v>0</v>
      </c>
      <c r="F63" s="1927">
        <f t="shared" si="1"/>
        <v>0</v>
      </c>
      <c r="G63" s="1790">
        <f t="shared" si="3"/>
        <v>0</v>
      </c>
    </row>
    <row r="64" spans="1:7" x14ac:dyDescent="0.25">
      <c r="A64" s="1652"/>
      <c r="B64" s="1664"/>
      <c r="C64" s="1653"/>
      <c r="D64" s="1841"/>
      <c r="E64" s="1537">
        <f t="shared" si="2"/>
        <v>0</v>
      </c>
      <c r="F64" s="1927">
        <f t="shared" si="1"/>
        <v>0</v>
      </c>
      <c r="G64" s="1790">
        <f t="shared" si="3"/>
        <v>0</v>
      </c>
    </row>
    <row r="65" spans="1:7" x14ac:dyDescent="0.25">
      <c r="A65" s="1650"/>
      <c r="B65" s="1664"/>
      <c r="C65" s="1651"/>
      <c r="D65" s="1841"/>
      <c r="E65" s="1537">
        <f t="shared" si="2"/>
        <v>0</v>
      </c>
      <c r="F65" s="1927">
        <f t="shared" si="1"/>
        <v>0</v>
      </c>
      <c r="G65" s="1790">
        <f t="shared" si="3"/>
        <v>0</v>
      </c>
    </row>
    <row r="66" spans="1:7" x14ac:dyDescent="0.25">
      <c r="A66" s="1650"/>
      <c r="B66" s="1664"/>
      <c r="C66" s="1651"/>
      <c r="D66" s="1841"/>
      <c r="E66" s="1537">
        <f t="shared" si="2"/>
        <v>0</v>
      </c>
      <c r="F66" s="1927">
        <f t="shared" si="1"/>
        <v>0</v>
      </c>
      <c r="G66" s="1790">
        <f t="shared" si="3"/>
        <v>0</v>
      </c>
    </row>
    <row r="67" spans="1:7" x14ac:dyDescent="0.25">
      <c r="A67" s="1650"/>
      <c r="B67" s="1664"/>
      <c r="C67" s="1651"/>
      <c r="D67" s="1841"/>
      <c r="E67" s="1537">
        <f t="shared" si="2"/>
        <v>0</v>
      </c>
      <c r="F67" s="1927">
        <f t="shared" si="1"/>
        <v>0</v>
      </c>
      <c r="G67" s="1790">
        <f t="shared" si="3"/>
        <v>0</v>
      </c>
    </row>
    <row r="68" spans="1:7" x14ac:dyDescent="0.25">
      <c r="A68" s="1650"/>
      <c r="B68" s="1664"/>
      <c r="C68" s="1651"/>
      <c r="D68" s="1841"/>
      <c r="E68" s="1537">
        <f t="shared" si="2"/>
        <v>0</v>
      </c>
      <c r="F68" s="1927">
        <f t="shared" si="1"/>
        <v>0</v>
      </c>
      <c r="G68" s="1790">
        <f t="shared" si="3"/>
        <v>0</v>
      </c>
    </row>
    <row r="69" spans="1:7" x14ac:dyDescent="0.25">
      <c r="A69" s="1650"/>
      <c r="B69" s="1664"/>
      <c r="C69" s="1651"/>
      <c r="D69" s="1841"/>
      <c r="E69" s="1537">
        <f t="shared" si="2"/>
        <v>0</v>
      </c>
      <c r="F69" s="1927">
        <f t="shared" si="1"/>
        <v>0</v>
      </c>
      <c r="G69" s="1790">
        <f t="shared" si="3"/>
        <v>0</v>
      </c>
    </row>
    <row r="70" spans="1:7" x14ac:dyDescent="0.25">
      <c r="A70" s="1650"/>
      <c r="B70" s="1664"/>
      <c r="C70" s="1651"/>
      <c r="D70" s="1841"/>
      <c r="E70" s="1537">
        <f t="shared" si="2"/>
        <v>0</v>
      </c>
      <c r="F70" s="1927">
        <f t="shared" si="1"/>
        <v>0</v>
      </c>
      <c r="G70" s="1790">
        <f t="shared" si="3"/>
        <v>0</v>
      </c>
    </row>
    <row r="71" spans="1:7" x14ac:dyDescent="0.25">
      <c r="A71" s="1650"/>
      <c r="B71" s="1664"/>
      <c r="C71" s="1651"/>
      <c r="D71" s="1841"/>
      <c r="E71" s="1537">
        <f t="shared" si="2"/>
        <v>0</v>
      </c>
      <c r="F71" s="1927">
        <f t="shared" si="1"/>
        <v>0</v>
      </c>
      <c r="G71" s="1790">
        <f t="shared" si="3"/>
        <v>0</v>
      </c>
    </row>
    <row r="72" spans="1:7" x14ac:dyDescent="0.25">
      <c r="A72" s="1650"/>
      <c r="B72" s="1664"/>
      <c r="C72" s="1651"/>
      <c r="D72" s="1841"/>
      <c r="E72" s="1537">
        <f t="shared" si="2"/>
        <v>0</v>
      </c>
      <c r="F72" s="1927">
        <f t="shared" si="1"/>
        <v>0</v>
      </c>
      <c r="G72" s="1790">
        <f t="shared" si="3"/>
        <v>0</v>
      </c>
    </row>
    <row r="73" spans="1:7" x14ac:dyDescent="0.25">
      <c r="A73" s="1650"/>
      <c r="B73" s="1664"/>
      <c r="C73" s="1651"/>
      <c r="D73" s="1841"/>
      <c r="E73" s="1537">
        <f t="shared" ref="E73:E84" si="4">IF(D73&lt;=25000,D73,IF(D73&gt;25000,25000,0))</f>
        <v>0</v>
      </c>
      <c r="F73" s="1927">
        <f t="shared" si="1"/>
        <v>0</v>
      </c>
      <c r="G73" s="1790">
        <f t="shared" ref="G73:G84" si="5">IF(F73=0,0,D73-F73)</f>
        <v>0</v>
      </c>
    </row>
    <row r="74" spans="1:7" x14ac:dyDescent="0.25">
      <c r="A74" s="1650"/>
      <c r="B74" s="1664"/>
      <c r="C74" s="1651"/>
      <c r="D74" s="1841"/>
      <c r="E74" s="1537">
        <f t="shared" si="4"/>
        <v>0</v>
      </c>
      <c r="F74" s="1927">
        <f t="shared" si="1"/>
        <v>0</v>
      </c>
      <c r="G74" s="1790">
        <f t="shared" si="5"/>
        <v>0</v>
      </c>
    </row>
    <row r="75" spans="1:7" x14ac:dyDescent="0.25">
      <c r="A75" s="1650"/>
      <c r="B75" s="1664"/>
      <c r="C75" s="1651"/>
      <c r="D75" s="1841"/>
      <c r="E75" s="1537">
        <f t="shared" si="4"/>
        <v>0</v>
      </c>
      <c r="F75" s="1927">
        <f t="shared" si="1"/>
        <v>0</v>
      </c>
      <c r="G75" s="1790">
        <f t="shared" si="5"/>
        <v>0</v>
      </c>
    </row>
    <row r="76" spans="1:7" x14ac:dyDescent="0.25">
      <c r="A76" s="1650"/>
      <c r="B76" s="1664"/>
      <c r="C76" s="1651"/>
      <c r="D76" s="1841"/>
      <c r="E76" s="1537">
        <f t="shared" si="4"/>
        <v>0</v>
      </c>
      <c r="F76" s="1927">
        <f t="shared" si="1"/>
        <v>0</v>
      </c>
      <c r="G76" s="1790">
        <f t="shared" si="5"/>
        <v>0</v>
      </c>
    </row>
    <row r="77" spans="1:7" x14ac:dyDescent="0.25">
      <c r="A77" s="1650"/>
      <c r="B77" s="1664"/>
      <c r="C77" s="1651"/>
      <c r="D77" s="1841"/>
      <c r="E77" s="1537">
        <f t="shared" si="4"/>
        <v>0</v>
      </c>
      <c r="F77" s="1927">
        <f t="shared" si="1"/>
        <v>0</v>
      </c>
      <c r="G77" s="1790">
        <f t="shared" si="5"/>
        <v>0</v>
      </c>
    </row>
    <row r="78" spans="1:7" x14ac:dyDescent="0.25">
      <c r="A78" s="1650"/>
      <c r="B78" s="1664"/>
      <c r="C78" s="1651"/>
      <c r="D78" s="1841"/>
      <c r="E78" s="1537">
        <f t="shared" si="4"/>
        <v>0</v>
      </c>
      <c r="F78" s="1927">
        <f t="shared" si="1"/>
        <v>0</v>
      </c>
      <c r="G78" s="1790">
        <f t="shared" si="5"/>
        <v>0</v>
      </c>
    </row>
    <row r="79" spans="1:7" x14ac:dyDescent="0.25">
      <c r="A79" s="1650"/>
      <c r="B79" s="1664"/>
      <c r="C79" s="1651"/>
      <c r="D79" s="1841"/>
      <c r="E79" s="1537">
        <f t="shared" si="4"/>
        <v>0</v>
      </c>
      <c r="F79" s="1927">
        <f t="shared" si="1"/>
        <v>0</v>
      </c>
      <c r="G79" s="1790">
        <f t="shared" si="5"/>
        <v>0</v>
      </c>
    </row>
    <row r="80" spans="1:7" x14ac:dyDescent="0.25">
      <c r="A80" s="1650"/>
      <c r="B80" s="1664"/>
      <c r="C80" s="1651"/>
      <c r="D80" s="1841"/>
      <c r="E80" s="1537">
        <f t="shared" si="4"/>
        <v>0</v>
      </c>
      <c r="F80" s="1927">
        <f t="shared" si="1"/>
        <v>0</v>
      </c>
      <c r="G80" s="1790">
        <f t="shared" si="5"/>
        <v>0</v>
      </c>
    </row>
    <row r="81" spans="1:7" x14ac:dyDescent="0.25">
      <c r="A81" s="1650"/>
      <c r="B81" s="1664"/>
      <c r="C81" s="1651"/>
      <c r="D81" s="1841"/>
      <c r="E81" s="1537">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7">
        <f t="shared" si="6"/>
        <v>0</v>
      </c>
      <c r="G82" s="1790">
        <f t="shared" si="5"/>
        <v>0</v>
      </c>
    </row>
    <row r="83" spans="1:7" x14ac:dyDescent="0.25">
      <c r="A83" s="1650"/>
      <c r="B83" s="1664"/>
      <c r="C83" s="1651"/>
      <c r="D83" s="1841"/>
      <c r="E83" s="1537">
        <f t="shared" si="4"/>
        <v>0</v>
      </c>
      <c r="F83" s="1927">
        <f t="shared" si="6"/>
        <v>0</v>
      </c>
      <c r="G83" s="1790">
        <f t="shared" si="5"/>
        <v>0</v>
      </c>
    </row>
    <row r="84" spans="1:7" x14ac:dyDescent="0.25">
      <c r="A84" s="1650"/>
      <c r="B84" s="1664"/>
      <c r="C84" s="1651"/>
      <c r="D84" s="1841"/>
      <c r="E84" s="1537">
        <f t="shared" si="4"/>
        <v>0</v>
      </c>
      <c r="F84" s="1927">
        <f t="shared" si="6"/>
        <v>0</v>
      </c>
      <c r="G84" s="1790">
        <f t="shared" si="5"/>
        <v>0</v>
      </c>
    </row>
    <row r="85" spans="1:7" x14ac:dyDescent="0.25">
      <c r="A85" s="1650"/>
      <c r="B85" s="1664"/>
      <c r="C85" s="1651"/>
      <c r="D85" s="1841"/>
      <c r="E85" s="1537">
        <f t="shared" si="2"/>
        <v>0</v>
      </c>
      <c r="F85" s="1927">
        <f t="shared" si="6"/>
        <v>0</v>
      </c>
      <c r="G85" s="1790">
        <f t="shared" si="3"/>
        <v>0</v>
      </c>
    </row>
    <row r="86" spans="1:7" x14ac:dyDescent="0.25">
      <c r="A86" s="1650"/>
      <c r="B86" s="1664"/>
      <c r="C86" s="1651"/>
      <c r="D86" s="1841"/>
      <c r="E86" s="1537">
        <f t="shared" si="2"/>
        <v>0</v>
      </c>
      <c r="F86" s="1927">
        <f t="shared" si="6"/>
        <v>0</v>
      </c>
      <c r="G86" s="1790">
        <f t="shared" si="3"/>
        <v>0</v>
      </c>
    </row>
    <row r="87" spans="1:7" x14ac:dyDescent="0.25">
      <c r="A87" s="1650"/>
      <c r="B87" s="1664"/>
      <c r="C87" s="1651"/>
      <c r="D87" s="1841"/>
      <c r="E87" s="1537">
        <f t="shared" si="2"/>
        <v>0</v>
      </c>
      <c r="F87" s="1927">
        <f t="shared" si="6"/>
        <v>0</v>
      </c>
      <c r="G87" s="1790">
        <f t="shared" si="3"/>
        <v>0</v>
      </c>
    </row>
    <row r="88" spans="1:7" x14ac:dyDescent="0.25">
      <c r="A88" s="1650"/>
      <c r="B88" s="1664"/>
      <c r="C88" s="1651"/>
      <c r="D88" s="1841"/>
      <c r="E88" s="1537">
        <f t="shared" si="2"/>
        <v>0</v>
      </c>
      <c r="F88" s="1927">
        <f t="shared" si="6"/>
        <v>0</v>
      </c>
      <c r="G88" s="1790">
        <f t="shared" si="3"/>
        <v>0</v>
      </c>
    </row>
    <row r="89" spans="1:7" x14ac:dyDescent="0.25">
      <c r="A89" s="1650"/>
      <c r="B89" s="1664"/>
      <c r="C89" s="1651"/>
      <c r="D89" s="1841"/>
      <c r="E89" s="1537">
        <f t="shared" si="2"/>
        <v>0</v>
      </c>
      <c r="F89" s="1927">
        <f t="shared" si="6"/>
        <v>0</v>
      </c>
      <c r="G89" s="1790">
        <f t="shared" si="3"/>
        <v>0</v>
      </c>
    </row>
    <row r="90" spans="1:7" x14ac:dyDescent="0.25">
      <c r="A90" s="1650"/>
      <c r="B90" s="1664"/>
      <c r="C90" s="1651"/>
      <c r="D90" s="1841"/>
      <c r="E90" s="1537">
        <f t="shared" si="2"/>
        <v>0</v>
      </c>
      <c r="F90" s="1927">
        <f t="shared" si="6"/>
        <v>0</v>
      </c>
      <c r="G90" s="1790">
        <f t="shared" si="3"/>
        <v>0</v>
      </c>
    </row>
    <row r="91" spans="1:7" x14ac:dyDescent="0.25">
      <c r="A91" s="1650"/>
      <c r="B91" s="1664"/>
      <c r="C91" s="1651"/>
      <c r="D91" s="1841"/>
      <c r="E91" s="1537">
        <f t="shared" si="2"/>
        <v>0</v>
      </c>
      <c r="F91" s="1927">
        <f t="shared" si="6"/>
        <v>0</v>
      </c>
      <c r="G91" s="1790">
        <f t="shared" si="3"/>
        <v>0</v>
      </c>
    </row>
    <row r="92" spans="1:7" x14ac:dyDescent="0.25">
      <c r="A92" s="1650"/>
      <c r="B92" s="1664"/>
      <c r="C92" s="1651"/>
      <c r="D92" s="1841"/>
      <c r="E92" s="1537">
        <f t="shared" si="2"/>
        <v>0</v>
      </c>
      <c r="F92" s="1927">
        <f t="shared" si="6"/>
        <v>0</v>
      </c>
      <c r="G92" s="1790">
        <f t="shared" si="3"/>
        <v>0</v>
      </c>
    </row>
    <row r="93" spans="1:7" x14ac:dyDescent="0.25">
      <c r="A93" s="1650"/>
      <c r="B93" s="1664"/>
      <c r="C93" s="1651"/>
      <c r="D93" s="1841"/>
      <c r="E93" s="1537">
        <f t="shared" ref="E93" si="7">IF(D93&lt;=25000,D93,IF(D93&gt;25000,25000,0))</f>
        <v>0</v>
      </c>
      <c r="F93" s="1927">
        <f t="shared" si="6"/>
        <v>0</v>
      </c>
      <c r="G93" s="1790">
        <f t="shared" ref="G93" si="8">IF(F93=0,0,D93-F93)</f>
        <v>0</v>
      </c>
    </row>
    <row r="94" spans="1:7" x14ac:dyDescent="0.25">
      <c r="A94" s="1650"/>
      <c r="B94" s="1664"/>
      <c r="C94" s="1651"/>
      <c r="D94" s="1841"/>
      <c r="E94" s="1537">
        <f t="shared" si="2"/>
        <v>0</v>
      </c>
      <c r="F94" s="1927">
        <f t="shared" si="6"/>
        <v>0</v>
      </c>
      <c r="G94" s="1790">
        <f t="shared" si="3"/>
        <v>0</v>
      </c>
    </row>
    <row r="95" spans="1:7" x14ac:dyDescent="0.25">
      <c r="A95" s="1650"/>
      <c r="B95" s="1664"/>
      <c r="C95" s="1651"/>
      <c r="D95" s="1841"/>
      <c r="E95" s="1537">
        <f t="shared" ref="E95:E98" si="9">IF(D95&lt;=25000,D95,IF(D95&gt;25000,25000,0))</f>
        <v>0</v>
      </c>
      <c r="F95" s="1927">
        <f t="shared" si="6"/>
        <v>0</v>
      </c>
      <c r="G95" s="1790">
        <f t="shared" ref="G95:G98" si="10">IF(F95=0,0,D95-F95)</f>
        <v>0</v>
      </c>
    </row>
    <row r="96" spans="1:7" x14ac:dyDescent="0.25">
      <c r="A96" s="1650"/>
      <c r="B96" s="1664"/>
      <c r="C96" s="1651"/>
      <c r="D96" s="1841"/>
      <c r="E96" s="1537">
        <f t="shared" si="9"/>
        <v>0</v>
      </c>
      <c r="F96" s="1927">
        <f t="shared" si="6"/>
        <v>0</v>
      </c>
      <c r="G96" s="1790">
        <f t="shared" si="10"/>
        <v>0</v>
      </c>
    </row>
    <row r="97" spans="1:7" x14ac:dyDescent="0.25">
      <c r="A97" s="1650"/>
      <c r="B97" s="1664"/>
      <c r="C97" s="1651"/>
      <c r="D97" s="1841"/>
      <c r="E97" s="1537">
        <f t="shared" si="9"/>
        <v>0</v>
      </c>
      <c r="F97" s="1927">
        <f t="shared" si="6"/>
        <v>0</v>
      </c>
      <c r="G97" s="1790">
        <f t="shared" si="10"/>
        <v>0</v>
      </c>
    </row>
    <row r="98" spans="1:7" x14ac:dyDescent="0.25">
      <c r="A98" s="1650"/>
      <c r="B98" s="1664"/>
      <c r="C98" s="1651"/>
      <c r="D98" s="1841"/>
      <c r="E98" s="1537">
        <f t="shared" si="9"/>
        <v>0</v>
      </c>
      <c r="F98" s="1927">
        <f t="shared" si="6"/>
        <v>0</v>
      </c>
      <c r="G98" s="1790">
        <f t="shared" si="10"/>
        <v>0</v>
      </c>
    </row>
    <row r="99" spans="1:7" x14ac:dyDescent="0.25">
      <c r="A99" s="1650"/>
      <c r="B99" s="1664"/>
      <c r="C99" s="1651"/>
      <c r="D99" s="1841"/>
      <c r="E99" s="1537">
        <f t="shared" ref="E99" si="11">IF(D99&lt;=25000,D99,IF(D99&gt;25000,25000,0))</f>
        <v>0</v>
      </c>
      <c r="F99" s="1927">
        <f t="shared" si="6"/>
        <v>0</v>
      </c>
      <c r="G99" s="1790">
        <f t="shared" ref="G99" si="12">IF(F99=0,0,D99-F99)</f>
        <v>0</v>
      </c>
    </row>
    <row r="100" spans="1:7" x14ac:dyDescent="0.25">
      <c r="A100" s="1650"/>
      <c r="B100" s="1664"/>
      <c r="C100" s="1651"/>
      <c r="D100" s="1841"/>
      <c r="E100" s="1537">
        <f t="shared" ref="E100:E112" si="13">IF(D100&lt;=25000,D100,IF(D100&gt;25000,25000,0))</f>
        <v>0</v>
      </c>
      <c r="F100" s="1927">
        <f t="shared" si="6"/>
        <v>0</v>
      </c>
      <c r="G100" s="1790">
        <f t="shared" ref="G100:G112" si="14">IF(F100=0,0,D100-F100)</f>
        <v>0</v>
      </c>
    </row>
    <row r="101" spans="1:7" x14ac:dyDescent="0.25">
      <c r="A101" s="1650"/>
      <c r="B101" s="1664"/>
      <c r="C101" s="1651"/>
      <c r="D101" s="1841"/>
      <c r="E101" s="1537">
        <f t="shared" si="13"/>
        <v>0</v>
      </c>
      <c r="F101" s="1927">
        <f t="shared" si="6"/>
        <v>0</v>
      </c>
      <c r="G101" s="1790">
        <f t="shared" si="14"/>
        <v>0</v>
      </c>
    </row>
    <row r="102" spans="1:7" x14ac:dyDescent="0.25">
      <c r="A102" s="1650"/>
      <c r="B102" s="1664"/>
      <c r="C102" s="1651"/>
      <c r="D102" s="1841"/>
      <c r="E102" s="1537">
        <f t="shared" si="13"/>
        <v>0</v>
      </c>
      <c r="F102" s="1927">
        <f t="shared" si="6"/>
        <v>0</v>
      </c>
      <c r="G102" s="1790">
        <f t="shared" si="14"/>
        <v>0</v>
      </c>
    </row>
    <row r="103" spans="1:7" x14ac:dyDescent="0.25">
      <c r="A103" s="1650"/>
      <c r="B103" s="1664"/>
      <c r="C103" s="1651"/>
      <c r="D103" s="1841"/>
      <c r="E103" s="1537">
        <f t="shared" si="13"/>
        <v>0</v>
      </c>
      <c r="F103" s="1927">
        <f t="shared" si="6"/>
        <v>0</v>
      </c>
      <c r="G103" s="1790">
        <f t="shared" si="14"/>
        <v>0</v>
      </c>
    </row>
    <row r="104" spans="1:7" x14ac:dyDescent="0.25">
      <c r="A104" s="1650"/>
      <c r="B104" s="1664"/>
      <c r="C104" s="1651"/>
      <c r="D104" s="1841"/>
      <c r="E104" s="1537">
        <f t="shared" si="13"/>
        <v>0</v>
      </c>
      <c r="F104" s="1927">
        <f t="shared" si="6"/>
        <v>0</v>
      </c>
      <c r="G104" s="1790">
        <f t="shared" si="14"/>
        <v>0</v>
      </c>
    </row>
    <row r="105" spans="1:7" x14ac:dyDescent="0.25">
      <c r="A105" s="1650"/>
      <c r="B105" s="1664"/>
      <c r="C105" s="1651"/>
      <c r="D105" s="1841"/>
      <c r="E105" s="1537">
        <f t="shared" si="13"/>
        <v>0</v>
      </c>
      <c r="F105" s="1927">
        <f t="shared" si="6"/>
        <v>0</v>
      </c>
      <c r="G105" s="1790">
        <f t="shared" si="14"/>
        <v>0</v>
      </c>
    </row>
    <row r="106" spans="1:7" x14ac:dyDescent="0.25">
      <c r="A106" s="1650"/>
      <c r="B106" s="1664"/>
      <c r="C106" s="1651"/>
      <c r="D106" s="1841"/>
      <c r="E106" s="1537">
        <f t="shared" si="13"/>
        <v>0</v>
      </c>
      <c r="F106" s="1927">
        <f t="shared" si="6"/>
        <v>0</v>
      </c>
      <c r="G106" s="1790">
        <f t="shared" si="14"/>
        <v>0</v>
      </c>
    </row>
    <row r="107" spans="1:7" x14ac:dyDescent="0.25">
      <c r="A107" s="1650"/>
      <c r="B107" s="1664"/>
      <c r="C107" s="1651"/>
      <c r="D107" s="1841"/>
      <c r="E107" s="1537">
        <f t="shared" si="13"/>
        <v>0</v>
      </c>
      <c r="F107" s="1927">
        <f t="shared" si="6"/>
        <v>0</v>
      </c>
      <c r="G107" s="1790">
        <f t="shared" si="14"/>
        <v>0</v>
      </c>
    </row>
    <row r="108" spans="1:7" x14ac:dyDescent="0.25">
      <c r="A108" s="1650"/>
      <c r="B108" s="1664"/>
      <c r="C108" s="1651"/>
      <c r="D108" s="1841"/>
      <c r="E108" s="1537">
        <f t="shared" si="13"/>
        <v>0</v>
      </c>
      <c r="F108" s="1927">
        <f t="shared" si="6"/>
        <v>0</v>
      </c>
      <c r="G108" s="1790">
        <f t="shared" si="14"/>
        <v>0</v>
      </c>
    </row>
    <row r="109" spans="1:7" x14ac:dyDescent="0.25">
      <c r="A109" s="1650"/>
      <c r="B109" s="1664"/>
      <c r="C109" s="1651"/>
      <c r="D109" s="1841"/>
      <c r="E109" s="1537">
        <f t="shared" si="13"/>
        <v>0</v>
      </c>
      <c r="F109" s="1927">
        <f t="shared" si="6"/>
        <v>0</v>
      </c>
      <c r="G109" s="1790">
        <f t="shared" si="14"/>
        <v>0</v>
      </c>
    </row>
    <row r="110" spans="1:7" x14ac:dyDescent="0.25">
      <c r="A110" s="1650"/>
      <c r="B110" s="1664"/>
      <c r="C110" s="1651"/>
      <c r="D110" s="1841"/>
      <c r="E110" s="1537">
        <f t="shared" si="13"/>
        <v>0</v>
      </c>
      <c r="F110" s="1927">
        <f t="shared" si="6"/>
        <v>0</v>
      </c>
      <c r="G110" s="1790">
        <f t="shared" si="14"/>
        <v>0</v>
      </c>
    </row>
    <row r="111" spans="1:7" x14ac:dyDescent="0.25">
      <c r="A111" s="1650"/>
      <c r="B111" s="1664"/>
      <c r="C111" s="1651"/>
      <c r="D111" s="1841"/>
      <c r="E111" s="1537">
        <f t="shared" si="13"/>
        <v>0</v>
      </c>
      <c r="F111" s="1927">
        <f t="shared" si="6"/>
        <v>0</v>
      </c>
      <c r="G111" s="1790">
        <f t="shared" si="14"/>
        <v>0</v>
      </c>
    </row>
    <row r="112" spans="1:7" x14ac:dyDescent="0.25">
      <c r="A112" s="1650"/>
      <c r="B112" s="1664"/>
      <c r="C112" s="1651"/>
      <c r="D112" s="1841"/>
      <c r="E112" s="1537">
        <f t="shared" si="13"/>
        <v>0</v>
      </c>
      <c r="F112" s="1927">
        <f t="shared" si="6"/>
        <v>0</v>
      </c>
      <c r="G112" s="1790">
        <f t="shared" si="14"/>
        <v>0</v>
      </c>
    </row>
    <row r="113" spans="1:7" x14ac:dyDescent="0.25">
      <c r="A113" s="1650"/>
      <c r="B113" s="1664"/>
      <c r="C113" s="1651"/>
      <c r="D113" s="1841"/>
      <c r="E113" s="1537">
        <f t="shared" ref="E113:E125" si="15">IF(D113&lt;=25000,D113,IF(D113&gt;25000,25000,0))</f>
        <v>0</v>
      </c>
      <c r="F113" s="1927">
        <f t="shared" si="6"/>
        <v>0</v>
      </c>
      <c r="G113" s="1790">
        <f t="shared" ref="G113:G125" si="16">IF(F113=0,0,D113-F113)</f>
        <v>0</v>
      </c>
    </row>
    <row r="114" spans="1:7" x14ac:dyDescent="0.25">
      <c r="A114" s="1650"/>
      <c r="B114" s="1664"/>
      <c r="C114" s="1651"/>
      <c r="D114" s="1841"/>
      <c r="E114" s="1537">
        <f t="shared" si="15"/>
        <v>0</v>
      </c>
      <c r="F114" s="1927">
        <f t="shared" si="6"/>
        <v>0</v>
      </c>
      <c r="G114" s="1790">
        <f t="shared" si="16"/>
        <v>0</v>
      </c>
    </row>
    <row r="115" spans="1:7" x14ac:dyDescent="0.25">
      <c r="A115" s="1650"/>
      <c r="B115" s="1664"/>
      <c r="C115" s="1651"/>
      <c r="D115" s="1841"/>
      <c r="E115" s="1537">
        <f t="shared" si="15"/>
        <v>0</v>
      </c>
      <c r="F115" s="1927">
        <f t="shared" si="6"/>
        <v>0</v>
      </c>
      <c r="G115" s="1790">
        <f t="shared" si="16"/>
        <v>0</v>
      </c>
    </row>
    <row r="116" spans="1:7" x14ac:dyDescent="0.25">
      <c r="A116" s="1650"/>
      <c r="B116" s="1664"/>
      <c r="C116" s="1651"/>
      <c r="D116" s="1841"/>
      <c r="E116" s="1537">
        <f t="shared" si="15"/>
        <v>0</v>
      </c>
      <c r="F116" s="1927">
        <f t="shared" si="6"/>
        <v>0</v>
      </c>
      <c r="G116" s="1790">
        <f t="shared" si="16"/>
        <v>0</v>
      </c>
    </row>
    <row r="117" spans="1:7" x14ac:dyDescent="0.25">
      <c r="A117" s="1650"/>
      <c r="B117" s="1664"/>
      <c r="C117" s="1651"/>
      <c r="D117" s="1841"/>
      <c r="E117" s="1537">
        <f t="shared" si="15"/>
        <v>0</v>
      </c>
      <c r="F117" s="1927">
        <f t="shared" si="6"/>
        <v>0</v>
      </c>
      <c r="G117" s="1790">
        <f t="shared" si="16"/>
        <v>0</v>
      </c>
    </row>
    <row r="118" spans="1:7" x14ac:dyDescent="0.25">
      <c r="A118" s="1650"/>
      <c r="B118" s="1664"/>
      <c r="C118" s="1651"/>
      <c r="D118" s="1841"/>
      <c r="E118" s="1537">
        <f t="shared" si="15"/>
        <v>0</v>
      </c>
      <c r="F118" s="1927">
        <f t="shared" si="6"/>
        <v>0</v>
      </c>
      <c r="G118" s="1790">
        <f t="shared" si="16"/>
        <v>0</v>
      </c>
    </row>
    <row r="119" spans="1:7" x14ac:dyDescent="0.25">
      <c r="A119" s="1650"/>
      <c r="B119" s="1664"/>
      <c r="C119" s="1651"/>
      <c r="D119" s="1841"/>
      <c r="E119" s="1537">
        <f t="shared" si="15"/>
        <v>0</v>
      </c>
      <c r="F119" s="1927">
        <f t="shared" si="6"/>
        <v>0</v>
      </c>
      <c r="G119" s="1790">
        <f t="shared" si="16"/>
        <v>0</v>
      </c>
    </row>
    <row r="120" spans="1:7" x14ac:dyDescent="0.25">
      <c r="A120" s="1650"/>
      <c r="B120" s="1664"/>
      <c r="C120" s="1651"/>
      <c r="D120" s="1841"/>
      <c r="E120" s="1537">
        <f t="shared" si="15"/>
        <v>0</v>
      </c>
      <c r="F120" s="1927">
        <f t="shared" si="6"/>
        <v>0</v>
      </c>
      <c r="G120" s="1790">
        <f t="shared" si="16"/>
        <v>0</v>
      </c>
    </row>
    <row r="121" spans="1:7" x14ac:dyDescent="0.25">
      <c r="A121" s="1650"/>
      <c r="B121" s="1664"/>
      <c r="C121" s="1651"/>
      <c r="D121" s="1841"/>
      <c r="E121" s="1537">
        <f t="shared" si="15"/>
        <v>0</v>
      </c>
      <c r="F121" s="1927">
        <f t="shared" si="6"/>
        <v>0</v>
      </c>
      <c r="G121" s="1790">
        <f t="shared" si="16"/>
        <v>0</v>
      </c>
    </row>
    <row r="122" spans="1:7" x14ac:dyDescent="0.25">
      <c r="A122" s="1650"/>
      <c r="B122" s="1664"/>
      <c r="C122" s="1651"/>
      <c r="D122" s="1841"/>
      <c r="E122" s="1537">
        <f t="shared" si="15"/>
        <v>0</v>
      </c>
      <c r="F122" s="1927">
        <f t="shared" si="6"/>
        <v>0</v>
      </c>
      <c r="G122" s="1790">
        <f t="shared" si="16"/>
        <v>0</v>
      </c>
    </row>
    <row r="123" spans="1:7" x14ac:dyDescent="0.25">
      <c r="A123" s="1650"/>
      <c r="B123" s="1664"/>
      <c r="C123" s="1651"/>
      <c r="D123" s="1841"/>
      <c r="E123" s="1537">
        <f t="shared" si="15"/>
        <v>0</v>
      </c>
      <c r="F123" s="1927">
        <f t="shared" si="6"/>
        <v>0</v>
      </c>
      <c r="G123" s="1790">
        <f t="shared" si="16"/>
        <v>0</v>
      </c>
    </row>
    <row r="124" spans="1:7" x14ac:dyDescent="0.25">
      <c r="A124" s="1650"/>
      <c r="B124" s="1664"/>
      <c r="C124" s="1651"/>
      <c r="D124" s="1841"/>
      <c r="E124" s="1537">
        <f t="shared" si="15"/>
        <v>0</v>
      </c>
      <c r="F124" s="1927">
        <f t="shared" si="6"/>
        <v>0</v>
      </c>
      <c r="G124" s="1790">
        <f t="shared" si="16"/>
        <v>0</v>
      </c>
    </row>
    <row r="125" spans="1:7" x14ac:dyDescent="0.25">
      <c r="A125" s="1650"/>
      <c r="B125" s="1664"/>
      <c r="C125" s="1651"/>
      <c r="D125" s="1841"/>
      <c r="E125" s="1537">
        <f t="shared" si="15"/>
        <v>0</v>
      </c>
      <c r="F125" s="1927">
        <f t="shared" si="6"/>
        <v>0</v>
      </c>
      <c r="G125" s="1790">
        <f t="shared" si="16"/>
        <v>0</v>
      </c>
    </row>
    <row r="126" spans="1:7" x14ac:dyDescent="0.25">
      <c r="A126" s="1650"/>
      <c r="B126" s="1664"/>
      <c r="C126" s="1651"/>
      <c r="D126" s="1841"/>
      <c r="E126" s="1537">
        <f t="shared" ref="E126:E134" si="17">IF(D126&lt;=25000,D126,IF(D126&gt;25000,25000,0))</f>
        <v>0</v>
      </c>
      <c r="F126" s="1927">
        <f t="shared" si="6"/>
        <v>0</v>
      </c>
      <c r="G126" s="1790">
        <f t="shared" ref="G126:G134" si="18">IF(F126=0,0,D126-F126)</f>
        <v>0</v>
      </c>
    </row>
    <row r="127" spans="1:7" x14ac:dyDescent="0.25">
      <c r="A127" s="1650"/>
      <c r="B127" s="1664"/>
      <c r="C127" s="1651"/>
      <c r="D127" s="1841"/>
      <c r="E127" s="1537">
        <f t="shared" si="17"/>
        <v>0</v>
      </c>
      <c r="F127" s="1927">
        <f t="shared" si="6"/>
        <v>0</v>
      </c>
      <c r="G127" s="1790">
        <f t="shared" si="18"/>
        <v>0</v>
      </c>
    </row>
    <row r="128" spans="1:7" x14ac:dyDescent="0.25">
      <c r="A128" s="1650"/>
      <c r="B128" s="1664"/>
      <c r="C128" s="1651"/>
      <c r="D128" s="1841"/>
      <c r="E128" s="1537">
        <f t="shared" si="17"/>
        <v>0</v>
      </c>
      <c r="F128" s="1927">
        <f t="shared" si="6"/>
        <v>0</v>
      </c>
      <c r="G128" s="1790">
        <f t="shared" si="18"/>
        <v>0</v>
      </c>
    </row>
    <row r="129" spans="1:7" x14ac:dyDescent="0.25">
      <c r="A129" s="1650"/>
      <c r="B129" s="1664"/>
      <c r="C129" s="1651"/>
      <c r="D129" s="1841"/>
      <c r="E129" s="1537">
        <f t="shared" si="17"/>
        <v>0</v>
      </c>
      <c r="F129" s="1927">
        <f t="shared" si="6"/>
        <v>0</v>
      </c>
      <c r="G129" s="1790">
        <f t="shared" si="18"/>
        <v>0</v>
      </c>
    </row>
    <row r="130" spans="1:7" x14ac:dyDescent="0.25">
      <c r="A130" s="1650"/>
      <c r="B130" s="1664"/>
      <c r="C130" s="1651"/>
      <c r="D130" s="1841"/>
      <c r="E130" s="1537">
        <f t="shared" si="17"/>
        <v>0</v>
      </c>
      <c r="F130" s="1927">
        <f t="shared" si="6"/>
        <v>0</v>
      </c>
      <c r="G130" s="1790">
        <f t="shared" si="18"/>
        <v>0</v>
      </c>
    </row>
    <row r="131" spans="1:7" x14ac:dyDescent="0.25">
      <c r="A131" s="1650"/>
      <c r="B131" s="1834"/>
      <c r="C131" s="1651"/>
      <c r="D131" s="1841"/>
      <c r="E131" s="1537">
        <f t="shared" si="17"/>
        <v>0</v>
      </c>
      <c r="F131" s="1927">
        <f t="shared" si="6"/>
        <v>0</v>
      </c>
      <c r="G131" s="1790">
        <f t="shared" si="18"/>
        <v>0</v>
      </c>
    </row>
    <row r="132" spans="1:7" x14ac:dyDescent="0.25">
      <c r="A132" s="1650"/>
      <c r="B132" s="1834"/>
      <c r="C132" s="1651"/>
      <c r="D132" s="1841"/>
      <c r="E132" s="1537">
        <f t="shared" si="17"/>
        <v>0</v>
      </c>
      <c r="F132" s="1927">
        <f t="shared" si="6"/>
        <v>0</v>
      </c>
      <c r="G132" s="1790">
        <f t="shared" si="18"/>
        <v>0</v>
      </c>
    </row>
    <row r="133" spans="1:7" x14ac:dyDescent="0.25">
      <c r="A133" s="1650"/>
      <c r="B133" s="1664"/>
      <c r="C133" s="1651"/>
      <c r="D133" s="1841"/>
      <c r="E133" s="1537">
        <f t="shared" si="17"/>
        <v>0</v>
      </c>
      <c r="F133" s="1927">
        <f t="shared" si="6"/>
        <v>0</v>
      </c>
      <c r="G133" s="1790">
        <f t="shared" si="18"/>
        <v>0</v>
      </c>
    </row>
    <row r="134" spans="1:7" x14ac:dyDescent="0.25">
      <c r="A134" s="1650"/>
      <c r="B134" s="1664"/>
      <c r="C134" s="1651"/>
      <c r="D134" s="1841"/>
      <c r="E134" s="1537">
        <f t="shared" si="17"/>
        <v>0</v>
      </c>
      <c r="F134" s="1927">
        <f t="shared" si="6"/>
        <v>0</v>
      </c>
      <c r="G134" s="1790">
        <f t="shared" si="18"/>
        <v>0</v>
      </c>
    </row>
    <row r="135" spans="1:7" x14ac:dyDescent="0.25">
      <c r="A135" s="1650"/>
      <c r="B135" s="1664"/>
      <c r="C135" s="1651"/>
      <c r="D135" s="1841"/>
      <c r="E135" s="1537">
        <f t="shared" ref="E135:E139" si="19">IF(D135&lt;=25000,D135,IF(D135&gt;25000,25000,0))</f>
        <v>0</v>
      </c>
      <c r="F135" s="1927">
        <f t="shared" si="6"/>
        <v>0</v>
      </c>
      <c r="G135" s="1790">
        <f t="shared" ref="G135:G139" si="20">IF(F135=0,0,D135-F135)</f>
        <v>0</v>
      </c>
    </row>
    <row r="136" spans="1:7" x14ac:dyDescent="0.25">
      <c r="A136" s="1650"/>
      <c r="B136" s="1664"/>
      <c r="C136" s="1651"/>
      <c r="D136" s="1841"/>
      <c r="E136" s="1537">
        <f t="shared" si="19"/>
        <v>0</v>
      </c>
      <c r="F136" s="1927">
        <f t="shared" si="6"/>
        <v>0</v>
      </c>
      <c r="G136" s="1790">
        <f t="shared" si="20"/>
        <v>0</v>
      </c>
    </row>
    <row r="137" spans="1:7" x14ac:dyDescent="0.25">
      <c r="A137" s="1650"/>
      <c r="B137" s="1664"/>
      <c r="C137" s="1651"/>
      <c r="D137" s="1841"/>
      <c r="E137" s="1537">
        <f t="shared" si="19"/>
        <v>0</v>
      </c>
      <c r="F137" s="1927">
        <f t="shared" si="6"/>
        <v>0</v>
      </c>
      <c r="G137" s="1790">
        <f t="shared" si="20"/>
        <v>0</v>
      </c>
    </row>
    <row r="138" spans="1:7" x14ac:dyDescent="0.25">
      <c r="A138" s="1650"/>
      <c r="B138" s="1664"/>
      <c r="C138" s="1651"/>
      <c r="D138" s="1841"/>
      <c r="E138" s="1537">
        <f t="shared" si="19"/>
        <v>0</v>
      </c>
      <c r="F138" s="1927">
        <f t="shared" si="6"/>
        <v>0</v>
      </c>
      <c r="G138" s="1790">
        <f t="shared" si="20"/>
        <v>0</v>
      </c>
    </row>
    <row r="139" spans="1:7" x14ac:dyDescent="0.25">
      <c r="A139" s="1650"/>
      <c r="B139" s="1664"/>
      <c r="C139" s="1651"/>
      <c r="D139" s="1841"/>
      <c r="E139" s="1537">
        <f t="shared" si="19"/>
        <v>0</v>
      </c>
      <c r="F139" s="1927">
        <f t="shared" si="6"/>
        <v>0</v>
      </c>
      <c r="G139" s="1790">
        <f t="shared" si="20"/>
        <v>0</v>
      </c>
    </row>
    <row r="140" spans="1:7" x14ac:dyDescent="0.25">
      <c r="A140" s="1650"/>
      <c r="B140" s="1663"/>
      <c r="C140" s="1651"/>
      <c r="D140" s="1841"/>
      <c r="E140" s="1537">
        <f t="shared" si="2"/>
        <v>0</v>
      </c>
      <c r="F140" s="1927">
        <f t="shared" si="6"/>
        <v>0</v>
      </c>
      <c r="G140" s="1790">
        <f t="shared" si="3"/>
        <v>0</v>
      </c>
    </row>
    <row r="141" spans="1:7" x14ac:dyDescent="0.25">
      <c r="A141" s="1793" t="s">
        <v>156</v>
      </c>
      <c r="B141" s="1794"/>
      <c r="C141" s="1795"/>
      <c r="D141" s="1791">
        <f>SUM(D17:D140)</f>
        <v>92875</v>
      </c>
      <c r="E141" s="1538">
        <f t="shared" si="0"/>
        <v>25000</v>
      </c>
      <c r="F141" s="1928">
        <f>SUM(F17:F140)</f>
        <v>50000</v>
      </c>
      <c r="G141" s="1792">
        <f>SUM(G17:G140)</f>
        <v>42875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89" t="s">
        <v>1679</v>
      </c>
      <c r="B5" s="2490"/>
      <c r="C5" s="2490"/>
      <c r="D5" s="2490"/>
      <c r="E5" s="2490"/>
      <c r="F5" s="2490"/>
      <c r="G5" s="249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0</v>
      </c>
      <c r="F10" s="971"/>
      <c r="G10" s="972"/>
      <c r="H10" s="162"/>
      <c r="I10" s="162"/>
    </row>
    <row r="11" spans="1:9" s="665" customFormat="1" ht="22.5" customHeight="1" x14ac:dyDescent="0.2">
      <c r="A11" s="2494" t="s">
        <v>1974</v>
      </c>
      <c r="B11" s="2495"/>
      <c r="C11" s="2495"/>
      <c r="D11" s="2496"/>
      <c r="E11" s="974">
        <v>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4871295</v>
      </c>
      <c r="F19" s="1796"/>
      <c r="G19" s="1798">
        <f>'Expenditures 15-22'!K33-SUM('Expenditures 15-22'!G33,'Expenditures 15-22'!I33)+'Expenditures 15-22'!D229</f>
        <v>4871295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2331533</v>
      </c>
      <c r="F21" s="1799"/>
      <c r="G21" s="1802">
        <f>'Expenditures 15-22'!K42-SUM('Expenditures 15-22'!G42,'Expenditures 15-22'!I42)+'Expenditures 15-22'!K120-SUM('Expenditures 15-22'!G120,'Expenditures 15-22'!I120)+'Expenditures 15-22'!K180-SUM('Expenditures 15-22'!G180,'Expenditures 15-22'!I180)+'Expenditures 15-22'!D238</f>
        <v>2331533</v>
      </c>
      <c r="H21" s="984"/>
      <c r="I21" s="162"/>
    </row>
    <row r="22" spans="1:9" s="665" customFormat="1" ht="12" customHeight="1" x14ac:dyDescent="0.2">
      <c r="A22" s="991" t="s">
        <v>564</v>
      </c>
      <c r="B22" s="992"/>
      <c r="C22" s="990">
        <v>2200</v>
      </c>
      <c r="D22" s="1799"/>
      <c r="E22" s="1801">
        <f>'Expenditures 15-22'!K47-SUM('Expenditures 15-22'!G47,'Expenditures 15-22'!I47)+'Expenditures 15-22'!D243</f>
        <v>294514</v>
      </c>
      <c r="F22" s="1799"/>
      <c r="G22" s="1802">
        <f>'Expenditures 15-22'!K47-SUM('Expenditures 15-22'!G47,'Expenditures 15-22'!I47)+'Expenditures 15-22'!D243</f>
        <v>294514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479145</v>
      </c>
      <c r="F23" s="1799"/>
      <c r="G23" s="1801">
        <f>'Expenditures 15-22'!K53-SUM('Expenditures 15-22'!G53,'Expenditures 15-22'!I53)+'Expenditures 15-22'!D257+'Expenditures 15-22'!K330-SUM('Expenditures 15-22'!G330,'Expenditures 15-22'!I330)</f>
        <v>479145</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20827</v>
      </c>
      <c r="E26" s="1801">
        <f>'Expenditures 15-22'!K122-SUM('Expenditures 15-22'!G122,'Expenditures 15-22'!I122)+E7</f>
        <v>0</v>
      </c>
      <c r="F26" s="1801">
        <f>'Expenditures 15-22'!K59-SUM('Expenditures 15-22'!G59,'Expenditures 15-22'!I59)+'Expenditures 15-22'!D263-E7</f>
        <v>20827</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265336</v>
      </c>
      <c r="E27" s="1801">
        <f>E8</f>
        <v>0</v>
      </c>
      <c r="F27" s="1801">
        <f>'Expenditures 15-22'!K60-SUM('Expenditures 15-22'!G60,'Expenditures 15-22'!I60)+'Expenditures 15-22'!D264-E8</f>
        <v>265336</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332870</v>
      </c>
      <c r="F28" s="1803">
        <f>'Expenditures 15-22'!K61-SUM('Expenditures 15-22'!G61,'Expenditures 15-22'!I61)+'Expenditures 15-22'!K124-SUM('Expenditures 15-22'!G124,'Expenditures 15-22'!I124)+'Expenditures 15-22'!D266-E9</f>
        <v>332870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9043</v>
      </c>
      <c r="F29" s="1799"/>
      <c r="G29" s="1802">
        <f>'Expenditures 15-22'!K62-SUM('Expenditures 15-22'!G62,'Expenditures 15-22'!I62)+'Expenditures 15-22'!K125-SUM('Expenditures 15-22'!G125,'Expenditures 15-22'!I125)+'Expenditures 15-22'!K182-SUM('Expenditures 15-22'!G182,'Expenditures 15-22'!I182)+'Expenditures 15-22'!D267</f>
        <v>9043</v>
      </c>
      <c r="H29" s="982"/>
    </row>
    <row r="30" spans="1:9" ht="12" customHeight="1" x14ac:dyDescent="0.2">
      <c r="A30" s="991" t="s">
        <v>100</v>
      </c>
      <c r="B30" s="994"/>
      <c r="C30" s="990">
        <v>2560</v>
      </c>
      <c r="D30" s="1799"/>
      <c r="E30" s="1801">
        <f>'Expenditures 15-22'!K63-SUM('Expenditures 15-22'!G63,'Expenditures 15-22'!I63)+'Expenditures 15-22'!D268-E10</f>
        <v>29568</v>
      </c>
      <c r="F30" s="1799"/>
      <c r="G30" s="1801">
        <f>'Expenditures 15-22'!K63-SUM('Expenditures 15-22'!G63,'Expenditures 15-22'!I63)+'Expenditures 15-22'!D268-E10</f>
        <v>29568</v>
      </c>
    </row>
    <row r="31" spans="1:9" ht="12" customHeight="1" x14ac:dyDescent="0.2">
      <c r="A31" s="991" t="s">
        <v>101</v>
      </c>
      <c r="B31" s="994"/>
      <c r="C31" s="990">
        <v>2570</v>
      </c>
      <c r="D31" s="1801">
        <f>'Expenditures 15-22'!K64-SUM('Expenditures 15-22'!G64,'Expenditures 15-22'!I64)+'Expenditures 15-22'!D269-E12</f>
        <v>14635</v>
      </c>
      <c r="E31" s="1801">
        <f>E12</f>
        <v>0</v>
      </c>
      <c r="F31" s="1801">
        <f>'Expenditures 15-22'!K64-SUM('Expenditures 15-22'!G64,'Expenditures 15-22'!I64)+'Expenditures 15-22'!D269-E12</f>
        <v>14635</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95502</v>
      </c>
      <c r="F33" s="1799"/>
      <c r="G33" s="1801">
        <f>'Expenditures 15-22'!K67-SUM('Expenditures 15-22'!G67,'Expenditures 15-22'!I67)+'Expenditures 15-22'!D272</f>
        <v>95502</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120624</v>
      </c>
      <c r="E37" s="1801">
        <f>E14</f>
        <v>0</v>
      </c>
      <c r="F37" s="1801">
        <f>'Expenditures 15-22'!K71-SUM('Expenditures 15-22'!G71,'Expenditures 15-22'!I71)+'Expenditures 15-22'!D276-E14</f>
        <v>120624</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71</v>
      </c>
      <c r="F38" s="1799"/>
      <c r="G38" s="1801">
        <f>'Expenditures 15-22'!K73-SUM('Expenditures 15-22'!G73,'Expenditures 15-22'!I73)+'Expenditures 15-22'!K128-SUM('Expenditures 15-22'!G128,'Expenditures 15-22'!I128)+'Expenditures 15-22'!K183-SUM('Expenditures 15-22'!G183,'Expenditures 15-22'!I183)+'Expenditures 15-22'!D278</f>
        <v>71</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1820</v>
      </c>
      <c r="B40" s="988"/>
      <c r="C40" s="990"/>
      <c r="D40" s="1799"/>
      <c r="E40" s="1803">
        <f>-'Contracts Paid in CY 29'!G141</f>
        <v>-42875</v>
      </c>
      <c r="F40" s="1799"/>
      <c r="G40" s="1803">
        <f>-'Contracts Paid in CY 29'!G141</f>
        <v>-42875</v>
      </c>
    </row>
    <row r="41" spans="1:7" ht="12" customHeight="1" x14ac:dyDescent="0.2">
      <c r="A41" s="995" t="s">
        <v>156</v>
      </c>
      <c r="B41" s="996"/>
      <c r="C41" s="997"/>
      <c r="D41" s="1803">
        <f>SUM(D19:D39)</f>
        <v>421422</v>
      </c>
      <c r="E41" s="1803">
        <f>SUM(E19:E40)</f>
        <v>8400666</v>
      </c>
      <c r="F41" s="1803">
        <f>SUM(F19:F39)</f>
        <v>754292</v>
      </c>
      <c r="G41" s="1803">
        <f>SUM(G19:G40)</f>
        <v>8067796</v>
      </c>
    </row>
    <row r="42" spans="1:7" x14ac:dyDescent="0.2">
      <c r="A42" s="984"/>
      <c r="B42" s="162"/>
      <c r="C42" s="998"/>
      <c r="D42" s="2492" t="s">
        <v>522</v>
      </c>
      <c r="E42" s="2493"/>
      <c r="F42" s="999" t="s">
        <v>523</v>
      </c>
      <c r="G42" s="1000"/>
    </row>
    <row r="43" spans="1:7" ht="12" customHeight="1" x14ac:dyDescent="0.2">
      <c r="A43" s="984"/>
      <c r="B43" s="162"/>
      <c r="C43" s="998"/>
      <c r="D43" s="1804" t="s">
        <v>473</v>
      </c>
      <c r="E43" s="1805">
        <f>D41</f>
        <v>421422</v>
      </c>
      <c r="F43" s="1804" t="s">
        <v>473</v>
      </c>
      <c r="G43" s="1805">
        <f>F41</f>
        <v>754292</v>
      </c>
    </row>
    <row r="44" spans="1:7" ht="12" customHeight="1" x14ac:dyDescent="0.2">
      <c r="A44" s="984"/>
      <c r="B44" s="162"/>
      <c r="C44" s="998"/>
      <c r="D44" s="1804" t="s">
        <v>474</v>
      </c>
      <c r="E44" s="1805">
        <f>E41</f>
        <v>8400666</v>
      </c>
      <c r="F44" s="1804" t="s">
        <v>474</v>
      </c>
      <c r="G44" s="1805">
        <f>G41</f>
        <v>8067796</v>
      </c>
    </row>
    <row r="45" spans="1:7" ht="12" customHeight="1" x14ac:dyDescent="0.2">
      <c r="A45" s="984"/>
      <c r="B45" s="162"/>
      <c r="C45" s="162"/>
      <c r="D45" s="1806" t="s">
        <v>1006</v>
      </c>
      <c r="E45" s="1807">
        <f>(E43/E44)</f>
        <v>5.0165308321983043E-2</v>
      </c>
      <c r="F45" s="1806" t="s">
        <v>1006</v>
      </c>
      <c r="G45" s="1807">
        <f>(G43/G44)</f>
        <v>9.3494183541576903E-2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38" sqref="A38:F38"/>
      <selection pane="bottomLeft" activeCell="A5" sqref="A5:F5"/>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511" t="s">
        <v>1379</v>
      </c>
      <c r="B1" s="2511"/>
      <c r="C1" s="2511"/>
      <c r="D1" s="2511"/>
      <c r="E1" s="2511"/>
      <c r="F1" s="2511"/>
    </row>
    <row r="2" spans="1:10" x14ac:dyDescent="0.2">
      <c r="A2" s="1882" t="s">
        <v>1909</v>
      </c>
      <c r="B2" s="1843"/>
      <c r="C2" s="1882"/>
      <c r="D2" s="1843"/>
      <c r="E2" s="1843"/>
      <c r="F2" s="1844"/>
    </row>
    <row r="3" spans="1:10" x14ac:dyDescent="0.2">
      <c r="A3" s="1882" t="s">
        <v>1975</v>
      </c>
      <c r="B3" s="1843"/>
      <c r="C3" s="1882"/>
      <c r="D3" s="1843"/>
      <c r="E3" s="1843"/>
      <c r="F3" s="1844"/>
    </row>
    <row r="4" spans="1:10" ht="3.75" customHeight="1" x14ac:dyDescent="0.2">
      <c r="A4" s="1843"/>
      <c r="B4" s="1843"/>
      <c r="C4" s="1843"/>
      <c r="D4" s="1843"/>
      <c r="E4" s="1843"/>
      <c r="F4" s="1844"/>
    </row>
    <row r="5" spans="1:10" ht="15" x14ac:dyDescent="0.25">
      <c r="A5" s="2512" t="s">
        <v>1546</v>
      </c>
      <c r="B5" s="2513"/>
      <c r="C5" s="2514"/>
      <c r="D5" s="2514"/>
      <c r="E5" s="2514"/>
      <c r="F5" s="2514"/>
    </row>
    <row r="6" spans="1:10" ht="12" customHeight="1" x14ac:dyDescent="0.25">
      <c r="A6" s="1845"/>
      <c r="B6" s="1846"/>
      <c r="C6" s="2515" t="str">
        <f>COVER!A17</f>
        <v>West Central IL Spec Educ Coop</v>
      </c>
      <c r="D6" s="2515"/>
      <c r="E6" s="2515"/>
      <c r="F6" s="1847"/>
    </row>
    <row r="7" spans="1:10" ht="11.25" customHeight="1" thickBot="1" x14ac:dyDescent="0.3">
      <c r="A7" s="1845"/>
      <c r="B7" s="1846"/>
      <c r="C7" s="2516">
        <f>COVER!A13</f>
        <v>26062000061</v>
      </c>
      <c r="D7" s="2516"/>
      <c r="E7" s="2516"/>
      <c r="F7" s="1847"/>
    </row>
    <row r="8" spans="1:10" ht="25.5" customHeight="1" thickBot="1" x14ac:dyDescent="0.25">
      <c r="A8" s="1888" t="s">
        <v>1905</v>
      </c>
      <c r="B8" s="1848" t="s">
        <v>2067</v>
      </c>
      <c r="C8" s="1884" t="s">
        <v>1681</v>
      </c>
      <c r="D8" s="1883" t="s">
        <v>1682</v>
      </c>
      <c r="E8" s="1885" t="s">
        <v>1380</v>
      </c>
      <c r="F8" s="1883" t="s">
        <v>1683</v>
      </c>
      <c r="H8" s="1849" t="b">
        <v>0</v>
      </c>
    </row>
    <row r="9" spans="1:10" ht="15.75" customHeight="1" x14ac:dyDescent="0.2">
      <c r="A9" s="1850" t="s">
        <v>1542</v>
      </c>
      <c r="B9" s="1851"/>
      <c r="C9" s="1852"/>
      <c r="D9" s="1852"/>
      <c r="E9" s="1853"/>
      <c r="F9" s="1854"/>
    </row>
    <row r="10" spans="1:10" ht="27.75" customHeight="1" x14ac:dyDescent="0.2">
      <c r="A10" s="1855" t="s">
        <v>1680</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c r="D15" s="1860"/>
      <c r="E15" s="1863"/>
      <c r="F15" s="1862"/>
      <c r="H15" s="1873">
        <f t="shared" si="0"/>
        <v>0</v>
      </c>
      <c r="I15" s="1873">
        <f t="shared" si="1"/>
        <v>0</v>
      </c>
      <c r="J15" s="1873">
        <f t="shared" si="2"/>
        <v>0</v>
      </c>
    </row>
    <row r="16" spans="1:10" ht="12" customHeight="1" x14ac:dyDescent="0.2">
      <c r="A16" s="1858" t="s">
        <v>1388</v>
      </c>
      <c r="B16" s="1859"/>
      <c r="C16" s="1860" t="s">
        <v>2079</v>
      </c>
      <c r="D16" s="1860" t="s">
        <v>2079</v>
      </c>
      <c r="E16" s="1863"/>
      <c r="F16" s="1862" t="s">
        <v>2217</v>
      </c>
      <c r="H16" s="1873">
        <f t="shared" si="0"/>
        <v>5</v>
      </c>
      <c r="I16" s="1873">
        <f t="shared" si="1"/>
        <v>5</v>
      </c>
      <c r="J16" s="1873">
        <f t="shared" si="2"/>
        <v>0</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c r="D19" s="1860"/>
      <c r="E19" s="1863"/>
      <c r="F19" s="1862"/>
      <c r="H19" s="1873">
        <f t="shared" si="0"/>
        <v>0</v>
      </c>
      <c r="I19" s="1873">
        <f t="shared" si="1"/>
        <v>0</v>
      </c>
      <c r="J19" s="1873">
        <f t="shared" si="2"/>
        <v>0</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c r="D21" s="1860"/>
      <c r="E21" s="1863"/>
      <c r="F21" s="1862"/>
      <c r="H21" s="1873">
        <f t="shared" si="0"/>
        <v>0</v>
      </c>
      <c r="I21" s="1873">
        <f t="shared" si="1"/>
        <v>0</v>
      </c>
      <c r="J21" s="1873">
        <f t="shared" si="2"/>
        <v>0</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c r="D24" s="1860"/>
      <c r="E24" s="1863"/>
      <c r="F24" s="1862"/>
      <c r="H24" s="1873">
        <f t="shared" si="0"/>
        <v>0</v>
      </c>
      <c r="I24" s="1873">
        <f t="shared" si="1"/>
        <v>0</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2079</v>
      </c>
      <c r="D26" s="1860" t="s">
        <v>2079</v>
      </c>
      <c r="E26" s="1863"/>
      <c r="F26" s="1862" t="s">
        <v>2218</v>
      </c>
      <c r="H26" s="1873">
        <f t="shared" si="0"/>
        <v>5</v>
      </c>
      <c r="I26" s="1873">
        <f t="shared" si="1"/>
        <v>5</v>
      </c>
      <c r="J26" s="1873">
        <f t="shared" si="2"/>
        <v>0</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c r="D28" s="1860"/>
      <c r="E28" s="1863"/>
      <c r="F28" s="1862"/>
      <c r="H28" s="1873">
        <f t="shared" si="0"/>
        <v>0</v>
      </c>
      <c r="I28" s="1873">
        <f t="shared" si="1"/>
        <v>0</v>
      </c>
      <c r="J28" s="1873">
        <f t="shared" si="2"/>
        <v>0</v>
      </c>
    </row>
    <row r="29" spans="1:12" ht="12" customHeight="1" x14ac:dyDescent="0.2">
      <c r="A29" s="1858" t="s">
        <v>1537</v>
      </c>
      <c r="B29" s="1859"/>
      <c r="C29" s="1860"/>
      <c r="D29" s="1860"/>
      <c r="E29" s="1863"/>
      <c r="F29" s="1862"/>
      <c r="H29" s="1873">
        <f t="shared" si="0"/>
        <v>0</v>
      </c>
      <c r="I29" s="1873">
        <f t="shared" si="1"/>
        <v>0</v>
      </c>
      <c r="J29" s="1873">
        <f t="shared" si="2"/>
        <v>0</v>
      </c>
    </row>
    <row r="30" spans="1:12" ht="12" customHeight="1" x14ac:dyDescent="0.2">
      <c r="A30" s="1858" t="s">
        <v>1538</v>
      </c>
      <c r="B30" s="1859"/>
      <c r="C30" s="1860" t="s">
        <v>2079</v>
      </c>
      <c r="D30" s="1860" t="s">
        <v>2079</v>
      </c>
      <c r="E30" s="1863"/>
      <c r="F30" s="1862" t="s">
        <v>2219</v>
      </c>
      <c r="H30" s="1873">
        <f t="shared" si="0"/>
        <v>5</v>
      </c>
      <c r="I30" s="1873">
        <f t="shared" si="1"/>
        <v>5</v>
      </c>
      <c r="J30" s="1873">
        <f t="shared" si="2"/>
        <v>0</v>
      </c>
    </row>
    <row r="31" spans="1:12" ht="12" customHeight="1" x14ac:dyDescent="0.2">
      <c r="A31" s="1858" t="s">
        <v>1539</v>
      </c>
      <c r="B31" s="1859"/>
      <c r="C31" s="1860"/>
      <c r="D31" s="1860"/>
      <c r="E31" s="1863"/>
      <c r="F31" s="1862"/>
      <c r="H31" s="1873">
        <f t="shared" si="0"/>
        <v>0</v>
      </c>
      <c r="I31" s="1873">
        <f t="shared" si="1"/>
        <v>0</v>
      </c>
      <c r="J31" s="1873">
        <f t="shared" si="2"/>
        <v>0</v>
      </c>
      <c r="L31" s="1864"/>
    </row>
    <row r="32" spans="1:12" ht="12" customHeight="1" x14ac:dyDescent="0.2">
      <c r="A32" s="1858" t="s">
        <v>1540</v>
      </c>
      <c r="B32" s="1859"/>
      <c r="C32" s="1860"/>
      <c r="D32" s="1860"/>
      <c r="E32" s="1863"/>
      <c r="F32" s="1862"/>
      <c r="H32" s="1873">
        <f t="shared" si="0"/>
        <v>0</v>
      </c>
      <c r="I32" s="1873">
        <f t="shared" si="1"/>
        <v>0</v>
      </c>
      <c r="J32" s="1873">
        <f t="shared" si="2"/>
        <v>0</v>
      </c>
    </row>
    <row r="33" spans="1:11" ht="12" customHeight="1" x14ac:dyDescent="0.2">
      <c r="A33" s="1858" t="s">
        <v>1541</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15</v>
      </c>
      <c r="I34" s="1873">
        <f>SUM(I11:I32)</f>
        <v>15</v>
      </c>
      <c r="J34" s="1873">
        <f>SUM(J11:J32)</f>
        <v>0</v>
      </c>
      <c r="K34" s="1873">
        <f>SUM(H34:J34)</f>
        <v>30</v>
      </c>
    </row>
    <row r="35" spans="1:11" ht="12" customHeight="1" x14ac:dyDescent="0.2">
      <c r="A35" s="1866" t="s">
        <v>1392</v>
      </c>
      <c r="B35" s="1867"/>
      <c r="C35" s="2517"/>
      <c r="D35" s="2517"/>
      <c r="E35" s="2517"/>
      <c r="F35" s="2518"/>
    </row>
    <row r="36" spans="1:11" ht="12" customHeight="1" x14ac:dyDescent="0.2">
      <c r="A36" s="2500" t="s">
        <v>2253</v>
      </c>
      <c r="B36" s="2501"/>
      <c r="C36" s="2501"/>
      <c r="D36" s="2501"/>
      <c r="E36" s="2501"/>
      <c r="F36" s="2502"/>
    </row>
    <row r="37" spans="1:11" ht="12" customHeight="1" x14ac:dyDescent="0.2">
      <c r="A37" s="2500" t="s">
        <v>2254</v>
      </c>
      <c r="B37" s="2501"/>
      <c r="C37" s="2501"/>
      <c r="D37" s="2501"/>
      <c r="E37" s="2501"/>
      <c r="F37" s="2502"/>
    </row>
    <row r="38" spans="1:11" ht="12" customHeight="1" x14ac:dyDescent="0.2">
      <c r="A38" s="2503"/>
      <c r="B38" s="2504"/>
      <c r="C38" s="2504"/>
      <c r="D38" s="2504"/>
      <c r="E38" s="2504"/>
      <c r="F38" s="2505"/>
    </row>
    <row r="39" spans="1:11" ht="4.5" hidden="1" customHeight="1" x14ac:dyDescent="0.2">
      <c r="A39" s="1868"/>
      <c r="B39" s="1868"/>
      <c r="C39" s="1868"/>
      <c r="D39" s="1868"/>
      <c r="E39" s="1868"/>
      <c r="F39" s="1868"/>
    </row>
    <row r="40" spans="1:11" s="1865" customFormat="1" ht="12" customHeight="1" x14ac:dyDescent="0.25">
      <c r="A40" s="1869" t="s">
        <v>1391</v>
      </c>
      <c r="B40" s="1870"/>
      <c r="C40" s="2506"/>
      <c r="D40" s="2506"/>
      <c r="E40" s="2506"/>
      <c r="F40" s="2507"/>
      <c r="H40" s="1874"/>
      <c r="I40" s="1874"/>
      <c r="J40" s="1874"/>
      <c r="K40" s="1874"/>
    </row>
    <row r="41" spans="1:11" s="1865" customFormat="1" ht="12" customHeight="1" x14ac:dyDescent="0.25">
      <c r="A41" s="2508"/>
      <c r="B41" s="2509"/>
      <c r="C41" s="2509"/>
      <c r="D41" s="2509"/>
      <c r="E41" s="2509"/>
      <c r="F41" s="2510"/>
      <c r="H41" s="1874"/>
      <c r="I41" s="1874"/>
      <c r="J41" s="1874"/>
      <c r="K41" s="1874"/>
    </row>
    <row r="42" spans="1:11" s="1865" customFormat="1" ht="12" customHeight="1" x14ac:dyDescent="0.25">
      <c r="A42" s="2508"/>
      <c r="B42" s="2509"/>
      <c r="C42" s="2509"/>
      <c r="D42" s="2509"/>
      <c r="E42" s="2509"/>
      <c r="F42" s="2510"/>
      <c r="H42" s="1874"/>
      <c r="I42" s="1874"/>
      <c r="J42" s="1874"/>
      <c r="K42" s="1874"/>
    </row>
    <row r="43" spans="1:11" s="1865" customFormat="1" ht="15" x14ac:dyDescent="0.25">
      <c r="A43" s="2497"/>
      <c r="B43" s="2498"/>
      <c r="C43" s="2498"/>
      <c r="D43" s="2498"/>
      <c r="E43" s="2498"/>
      <c r="F43" s="2499"/>
      <c r="H43" s="1874"/>
      <c r="I43" s="1874"/>
      <c r="J43" s="1874"/>
      <c r="K43" s="1874"/>
    </row>
    <row r="44" spans="1:11" s="1865" customFormat="1" ht="12" hidden="1" customHeight="1" x14ac:dyDescent="0.25">
      <c r="A44" s="2497"/>
      <c r="B44" s="2498"/>
      <c r="C44" s="2498"/>
      <c r="D44" s="2498"/>
      <c r="E44" s="2498"/>
      <c r="F44" s="2499"/>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9" t="s">
        <v>672</v>
      </c>
      <c r="B6" s="1639"/>
      <c r="C6" s="1639"/>
      <c r="D6" s="1639"/>
      <c r="E6" s="1640"/>
      <c r="F6" s="1012"/>
      <c r="G6" s="1006"/>
      <c r="H6" s="1013" t="s">
        <v>1028</v>
      </c>
      <c r="I6" s="2524" t="str">
        <f>COVER!A17</f>
        <v>West Central IL Spec Educ Coop</v>
      </c>
      <c r="J6" s="2525"/>
      <c r="Q6" s="1661"/>
    </row>
    <row r="7" spans="1:17" x14ac:dyDescent="0.2">
      <c r="A7" s="2526" t="s">
        <v>869</v>
      </c>
      <c r="B7" s="2527"/>
      <c r="C7" s="2527"/>
      <c r="D7" s="2527"/>
      <c r="E7" s="2528"/>
      <c r="F7" s="1014"/>
      <c r="G7" s="1006"/>
      <c r="H7" s="1013" t="s">
        <v>372</v>
      </c>
      <c r="I7" s="2529">
        <f>COVER!A13</f>
        <v>26062000061</v>
      </c>
      <c r="J7" s="252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0" t="s">
        <v>1976</v>
      </c>
      <c r="F9" s="1020"/>
      <c r="G9" s="1020"/>
      <c r="H9" s="1891"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530" t="s">
        <v>481</v>
      </c>
      <c r="B11" s="2531"/>
      <c r="C11" s="253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188379</v>
      </c>
      <c r="F12" s="1036"/>
      <c r="G12" s="1808">
        <f t="shared" ref="G12:G18" si="0">SUM(E12:F12)</f>
        <v>188379</v>
      </c>
      <c r="H12" s="1037"/>
      <c r="I12" s="1036"/>
      <c r="J12" s="1808">
        <f t="shared" ref="J12:J18" si="1">SUM(H12:I12)</f>
        <v>0</v>
      </c>
    </row>
    <row r="13" spans="1:17" ht="15" customHeight="1" x14ac:dyDescent="0.2">
      <c r="A13" s="1032">
        <v>2</v>
      </c>
      <c r="B13" s="1033" t="s">
        <v>42</v>
      </c>
      <c r="C13" s="1034"/>
      <c r="D13" s="1035">
        <v>2330</v>
      </c>
      <c r="E13" s="1808">
        <f>'Expenditures 15-22'!K51</f>
        <v>278995</v>
      </c>
      <c r="F13" s="1036"/>
      <c r="G13" s="1808">
        <f t="shared" si="0"/>
        <v>278995</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20827</v>
      </c>
      <c r="F15" s="1808">
        <f>'Expenditures 15-22'!K122</f>
        <v>0</v>
      </c>
      <c r="G15" s="1808">
        <f t="shared" si="0"/>
        <v>20827</v>
      </c>
      <c r="H15" s="1037"/>
      <c r="I15" s="1037"/>
      <c r="J15" s="1808">
        <f t="shared" si="1"/>
        <v>0</v>
      </c>
    </row>
    <row r="16" spans="1:17" ht="15" customHeight="1" x14ac:dyDescent="0.2">
      <c r="A16" s="1032">
        <v>5</v>
      </c>
      <c r="B16" s="1033" t="s">
        <v>101</v>
      </c>
      <c r="C16" s="1034"/>
      <c r="D16" s="1035">
        <v>2570</v>
      </c>
      <c r="E16" s="1808">
        <f>'Expenditures 15-22'!K64</f>
        <v>14635</v>
      </c>
      <c r="F16" s="1036"/>
      <c r="G16" s="1808">
        <f t="shared" si="0"/>
        <v>14635</v>
      </c>
      <c r="H16" s="1037"/>
      <c r="I16" s="1036"/>
      <c r="J16" s="1808">
        <f t="shared" si="1"/>
        <v>0</v>
      </c>
    </row>
    <row r="17" spans="1:10" ht="15" customHeight="1" x14ac:dyDescent="0.2">
      <c r="A17" s="1032">
        <v>6</v>
      </c>
      <c r="B17" s="1033" t="s">
        <v>1060</v>
      </c>
      <c r="C17" s="1034"/>
      <c r="D17" s="1035">
        <v>2610</v>
      </c>
      <c r="E17" s="1808">
        <f>'Expenditures 15-22'!K67</f>
        <v>109275</v>
      </c>
      <c r="F17" s="1036"/>
      <c r="G17" s="1808">
        <f t="shared" si="0"/>
        <v>109275</v>
      </c>
      <c r="H17" s="1037"/>
      <c r="I17" s="1036"/>
      <c r="J17" s="1808">
        <f t="shared" si="1"/>
        <v>0</v>
      </c>
    </row>
    <row r="18" spans="1:10" ht="22.5" customHeight="1" x14ac:dyDescent="0.2">
      <c r="A18" s="1039">
        <v>7</v>
      </c>
      <c r="B18" s="2533" t="s">
        <v>7</v>
      </c>
      <c r="C18" s="2534"/>
      <c r="D18" s="253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612111</v>
      </c>
      <c r="F19" s="1810">
        <f t="shared" si="2"/>
        <v>0</v>
      </c>
      <c r="G19" s="1810">
        <f t="shared" si="2"/>
        <v>612111</v>
      </c>
      <c r="H19" s="1810">
        <f t="shared" si="2"/>
        <v>0</v>
      </c>
      <c r="I19" s="1810">
        <f t="shared" si="2"/>
        <v>0</v>
      </c>
      <c r="J19" s="1810">
        <f t="shared" si="2"/>
        <v>0</v>
      </c>
    </row>
    <row r="20" spans="1:10" ht="13.5" thickTop="1" x14ac:dyDescent="0.2">
      <c r="A20" s="1032">
        <v>9</v>
      </c>
      <c r="B20" s="2536" t="s">
        <v>1978</v>
      </c>
      <c r="C20" s="2536"/>
      <c r="D20" s="2537"/>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542"/>
      <c r="D26" s="2542"/>
      <c r="E26" s="1047"/>
      <c r="F26" s="2541"/>
      <c r="G26" s="2541"/>
    </row>
    <row r="27" spans="1:10" x14ac:dyDescent="0.2">
      <c r="B27" s="1044"/>
      <c r="C27" s="1048" t="s">
        <v>1033</v>
      </c>
      <c r="D27" s="1049"/>
      <c r="E27" s="1050"/>
      <c r="F27" s="2538" t="s">
        <v>1509</v>
      </c>
      <c r="G27" s="2538"/>
    </row>
    <row r="28" spans="1:10" ht="28.5" customHeight="1" x14ac:dyDescent="0.2">
      <c r="B28" s="1044"/>
      <c r="C28" s="2540"/>
      <c r="D28" s="2540"/>
      <c r="E28" s="1051"/>
      <c r="F28" s="2540"/>
      <c r="G28" s="2540"/>
    </row>
    <row r="29" spans="1:10" x14ac:dyDescent="0.2">
      <c r="B29" s="1044"/>
      <c r="C29" s="1052" t="s">
        <v>1561</v>
      </c>
      <c r="E29" s="1053"/>
      <c r="F29" s="2539" t="s">
        <v>1510</v>
      </c>
      <c r="G29" s="253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521" t="s">
        <v>132</v>
      </c>
      <c r="D33" s="2522"/>
      <c r="E33" s="2522"/>
      <c r="F33" s="2522"/>
      <c r="G33" s="2522"/>
      <c r="H33" s="2522"/>
      <c r="I33" s="2522"/>
    </row>
    <row r="34" spans="1:10" ht="10.35" customHeight="1" x14ac:dyDescent="0.2">
      <c r="C34" s="2522"/>
      <c r="D34" s="2522"/>
      <c r="E34" s="2522"/>
      <c r="F34" s="2522"/>
      <c r="G34" s="2522"/>
      <c r="H34" s="2522"/>
      <c r="I34" s="2522"/>
    </row>
    <row r="35" spans="1:10" ht="7.5" customHeight="1" x14ac:dyDescent="0.2">
      <c r="C35" s="1059"/>
    </row>
    <row r="36" spans="1:10" ht="13.5" customHeight="1" x14ac:dyDescent="0.2">
      <c r="B36" s="1058"/>
      <c r="C36" s="2523" t="s">
        <v>1980</v>
      </c>
      <c r="D36" s="2522"/>
      <c r="E36" s="2522"/>
      <c r="F36" s="2522"/>
      <c r="G36" s="2522"/>
      <c r="H36" s="2522"/>
      <c r="I36" s="2522"/>
      <c r="J36" s="1060"/>
    </row>
    <row r="37" spans="1:10" ht="22.5" customHeight="1" x14ac:dyDescent="0.2">
      <c r="C37" s="2522"/>
      <c r="D37" s="2522"/>
      <c r="E37" s="2522"/>
      <c r="F37" s="2522"/>
      <c r="G37" s="2522"/>
      <c r="H37" s="2522"/>
      <c r="I37" s="2522"/>
      <c r="J37" s="1060"/>
    </row>
    <row r="38" spans="1:10" ht="7.5" customHeight="1" x14ac:dyDescent="0.2">
      <c r="C38" s="1059"/>
      <c r="D38" s="1061"/>
      <c r="E38" s="1062"/>
      <c r="F38" s="1063"/>
      <c r="G38" s="1062"/>
    </row>
    <row r="39" spans="1:10" ht="13.5" customHeight="1" x14ac:dyDescent="0.2">
      <c r="B39" s="1058"/>
      <c r="C39" s="2519" t="s">
        <v>882</v>
      </c>
      <c r="D39" s="2520"/>
      <c r="E39" s="2520"/>
      <c r="F39" s="2520"/>
      <c r="G39" s="2520"/>
      <c r="H39" s="2520"/>
      <c r="I39" s="252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2220</v>
      </c>
    </row>
    <row r="6" spans="1:2" x14ac:dyDescent="0.2">
      <c r="A6" s="1065">
        <v>2</v>
      </c>
      <c r="B6" s="329" t="s">
        <v>2221</v>
      </c>
    </row>
    <row r="7" spans="1:2" x14ac:dyDescent="0.2">
      <c r="A7" s="1065"/>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West Central IL Spec Educ Coop</v>
      </c>
    </row>
    <row r="65" spans="2:2" x14ac:dyDescent="0.2">
      <c r="B65" s="1067">
        <f>COVER!A13</f>
        <v>26062000061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60" t="s">
        <v>1065</v>
      </c>
      <c r="B35" s="2260"/>
      <c r="C35" s="2260"/>
      <c r="D35" s="2260"/>
      <c r="E35" s="22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57" t="s">
        <v>691</v>
      </c>
      <c r="B40" s="2257"/>
      <c r="C40" s="2257"/>
      <c r="D40" s="2257"/>
      <c r="E40" s="2257"/>
    </row>
    <row r="41" spans="1:5" x14ac:dyDescent="0.2">
      <c r="A41" s="2258" t="s">
        <v>1608</v>
      </c>
      <c r="B41" s="2258"/>
      <c r="C41" s="2258"/>
      <c r="D41" s="2258"/>
      <c r="E41" s="2258"/>
    </row>
    <row r="42" spans="1:5" ht="12.75" customHeight="1" x14ac:dyDescent="0.2">
      <c r="A42" s="2259" t="s">
        <v>1022</v>
      </c>
      <c r="B42" s="2259"/>
      <c r="C42" s="2259"/>
      <c r="D42" s="2259"/>
      <c r="E42" s="225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543" t="s">
        <v>1685</v>
      </c>
      <c r="B18" s="25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47625</xdr:colOff>
                <xdr:row>1</xdr:row>
                <xdr:rowOff>19050</xdr:rowOff>
              </from>
              <to>
                <xdr:col>1</xdr:col>
                <xdr:colOff>962025</xdr:colOff>
                <xdr:row>5</xdr:row>
                <xdr:rowOff>57150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1085850</xdr:colOff>
                <xdr:row>1</xdr:row>
                <xdr:rowOff>9525</xdr:rowOff>
              </from>
              <to>
                <xdr:col>1</xdr:col>
                <xdr:colOff>1990725</xdr:colOff>
                <xdr:row>5</xdr:row>
                <xdr:rowOff>47625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2200275</xdr:colOff>
                <xdr:row>1</xdr:row>
                <xdr:rowOff>28575</xdr:rowOff>
              </from>
              <to>
                <xdr:col>1</xdr:col>
                <xdr:colOff>3114675</xdr:colOff>
                <xdr:row>5</xdr:row>
                <xdr:rowOff>66675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44" t="s">
        <v>1690</v>
      </c>
      <c r="B1" s="2545"/>
      <c r="C1" s="2545"/>
      <c r="D1" s="2545"/>
      <c r="E1" s="2545"/>
      <c r="F1" s="2546"/>
    </row>
    <row r="2" spans="1:8" ht="45" customHeight="1" x14ac:dyDescent="0.2">
      <c r="A2" s="2554" t="s">
        <v>1984</v>
      </c>
      <c r="B2" s="2555"/>
      <c r="C2" s="2555"/>
      <c r="D2" s="2555"/>
      <c r="E2" s="2555"/>
      <c r="F2" s="2556"/>
      <c r="G2" s="1071"/>
      <c r="H2" s="1071"/>
    </row>
    <row r="3" spans="1:8" ht="57" customHeight="1" x14ac:dyDescent="0.2">
      <c r="A3" s="2557" t="s">
        <v>1686</v>
      </c>
      <c r="B3" s="2558"/>
      <c r="C3" s="2558"/>
      <c r="D3" s="2558"/>
      <c r="E3" s="2558"/>
      <c r="F3" s="2559"/>
      <c r="G3" s="1071"/>
      <c r="H3" s="1071"/>
    </row>
    <row r="4" spans="1:8" ht="14.25" customHeight="1" x14ac:dyDescent="0.2">
      <c r="A4" s="2563" t="s">
        <v>1985</v>
      </c>
      <c r="B4" s="2564"/>
      <c r="C4" s="2564"/>
      <c r="D4" s="2564"/>
      <c r="E4" s="2564"/>
      <c r="F4" s="2565"/>
      <c r="G4" s="1071"/>
      <c r="H4" s="1071"/>
    </row>
    <row r="5" spans="1:8" ht="14.25" customHeight="1" x14ac:dyDescent="0.2">
      <c r="A5" s="2566" t="s">
        <v>1981</v>
      </c>
      <c r="B5" s="2567"/>
      <c r="C5" s="2567"/>
      <c r="D5" s="2567"/>
      <c r="E5" s="2567"/>
      <c r="F5" s="2568"/>
      <c r="G5" s="1071"/>
      <c r="H5" s="1071"/>
    </row>
    <row r="6" spans="1:8" s="1072" customFormat="1" ht="41.25" customHeight="1" x14ac:dyDescent="0.2">
      <c r="A6" s="2560" t="s">
        <v>1691</v>
      </c>
      <c r="B6" s="2561"/>
      <c r="C6" s="2561"/>
      <c r="D6" s="2561"/>
      <c r="E6" s="2561"/>
      <c r="F6" s="256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9975706</v>
      </c>
      <c r="C8" s="1812">
        <f>'Acct Summary 7-8'!D8</f>
        <v>0</v>
      </c>
      <c r="D8" s="1812">
        <f>'Acct Summary 7-8'!F8</f>
        <v>0</v>
      </c>
      <c r="E8" s="1812">
        <f>'Acct Summary 7-8'!I8</f>
        <v>0</v>
      </c>
      <c r="F8" s="1812">
        <f>SUM(B8:E8)</f>
        <v>9975706</v>
      </c>
    </row>
    <row r="9" spans="1:8" s="1076" customFormat="1" ht="14.25" customHeight="1" thickBot="1" x14ac:dyDescent="0.25">
      <c r="A9" s="1075" t="s">
        <v>1369</v>
      </c>
      <c r="B9" s="1813">
        <f>'Acct Summary 7-8'!C17</f>
        <v>9091308</v>
      </c>
      <c r="C9" s="1813">
        <f>'Acct Summary 7-8'!D17</f>
        <v>0</v>
      </c>
      <c r="D9" s="1813">
        <f>'Acct Summary 7-8'!F17</f>
        <v>0</v>
      </c>
      <c r="E9" s="1812"/>
      <c r="F9" s="1812">
        <f>SUM(B9:E9)</f>
        <v>9091308</v>
      </c>
    </row>
    <row r="10" spans="1:8" s="1076" customFormat="1" ht="14.25" thickTop="1" thickBot="1" x14ac:dyDescent="0.25">
      <c r="A10" s="1077" t="s">
        <v>1370</v>
      </c>
      <c r="B10" s="1814">
        <f>(B8-B9)</f>
        <v>884398</v>
      </c>
      <c r="C10" s="1814">
        <f>(C8-C9)</f>
        <v>0</v>
      </c>
      <c r="D10" s="1814">
        <f>(D8-D9)</f>
        <v>0</v>
      </c>
      <c r="E10" s="1813">
        <f>(E8-E9)</f>
        <v>0</v>
      </c>
      <c r="F10" s="1815">
        <f>SUM(F8-F9)</f>
        <v>884398</v>
      </c>
    </row>
    <row r="11" spans="1:8" s="1076" customFormat="1" ht="14.25" thickTop="1" thickBot="1" x14ac:dyDescent="0.25">
      <c r="A11" s="1078" t="s">
        <v>1982</v>
      </c>
      <c r="B11" s="1816">
        <f>'Acct Summary 7-8'!C81</f>
        <v>2461418</v>
      </c>
      <c r="C11" s="1816">
        <f>'Acct Summary 7-8'!D81</f>
        <v>0</v>
      </c>
      <c r="D11" s="1816">
        <f>'Acct Summary 7-8'!F81</f>
        <v>0</v>
      </c>
      <c r="E11" s="1816">
        <f>'Acct Summary 7-8'!I81</f>
        <v>0</v>
      </c>
      <c r="F11" s="1817">
        <f>SUM(B11:E11)</f>
        <v>2461418</v>
      </c>
    </row>
    <row r="12" spans="1:8" ht="16.5" customHeight="1" thickTop="1" x14ac:dyDescent="0.2">
      <c r="A12" s="1079"/>
      <c r="B12" s="1080"/>
      <c r="C12" s="2548" t="str">
        <f>IF(AND(F10&lt;0,F11&gt;=0,ABS(F10*3)&gt;ABS(F11)),A16,IF(AND(F10&lt;0,F11&gt;0,ABS(F10*3)&lt;=ABS(F11)),A17,IF(AND(F10&lt;0,F11&lt;0),A16,IF(F11=0,A19,A18))))</f>
        <v>Balanced - no deficit reduction plan is required.</v>
      </c>
      <c r="D12" s="2549"/>
      <c r="E12" s="2549"/>
      <c r="F12" s="2550"/>
    </row>
    <row r="13" spans="1:8" ht="19.5" customHeight="1" x14ac:dyDescent="0.2">
      <c r="A13" s="1081"/>
      <c r="B13" s="1082"/>
      <c r="C13" s="2548"/>
      <c r="D13" s="2549"/>
      <c r="E13" s="2549"/>
      <c r="F13" s="2550"/>
      <c r="H13" s="1071"/>
    </row>
    <row r="14" spans="1:8" ht="19.5" customHeight="1" x14ac:dyDescent="0.2">
      <c r="A14" s="1081"/>
      <c r="B14" s="1082"/>
      <c r="C14" s="2548"/>
      <c r="D14" s="2549"/>
      <c r="E14" s="2549"/>
      <c r="F14" s="2550"/>
      <c r="H14" s="1071"/>
    </row>
    <row r="15" spans="1:8" ht="17.25" customHeight="1" x14ac:dyDescent="0.2">
      <c r="A15" s="1081"/>
      <c r="B15" s="1082"/>
      <c r="C15" s="2551"/>
      <c r="D15" s="2552"/>
      <c r="E15" s="2552"/>
      <c r="F15" s="2553"/>
      <c r="H15" s="1071"/>
    </row>
    <row r="16" spans="1:8" s="310" customFormat="1" ht="51.75" hidden="1" customHeight="1" x14ac:dyDescent="0.2">
      <c r="A16" s="2547" t="s">
        <v>1687</v>
      </c>
      <c r="B16" s="2547"/>
      <c r="C16" s="2547"/>
      <c r="D16" s="2547"/>
      <c r="E16" s="254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2"/>
      <c r="B2" s="1893"/>
      <c r="C2" s="1894"/>
      <c r="D2" s="1895"/>
    </row>
    <row r="3" spans="1:4" ht="36" customHeight="1" x14ac:dyDescent="0.2">
      <c r="A3" s="2569" t="s">
        <v>665</v>
      </c>
      <c r="B3" s="2570"/>
      <c r="C3" s="2570"/>
      <c r="D3" s="2571"/>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80" t="s">
        <v>1504</v>
      </c>
      <c r="D7" s="2581"/>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72" t="s">
        <v>1008</v>
      </c>
      <c r="B15" s="2573"/>
      <c r="C15" s="2573"/>
      <c r="D15" s="2574"/>
    </row>
    <row r="16" spans="1:4" s="665" customFormat="1" ht="24" customHeight="1" x14ac:dyDescent="0.2">
      <c r="A16" s="2575" t="s">
        <v>663</v>
      </c>
      <c r="B16" s="2576"/>
      <c r="C16" s="2576"/>
      <c r="D16" s="257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84" t="s">
        <v>314</v>
      </c>
      <c r="D21" s="2585"/>
    </row>
    <row r="22" spans="1:10" ht="12.75" x14ac:dyDescent="0.2">
      <c r="A22" s="1136"/>
      <c r="B22" s="1137">
        <v>2</v>
      </c>
      <c r="C22" s="2582" t="s">
        <v>1524</v>
      </c>
      <c r="D22" s="258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86" t="s">
        <v>536</v>
      </c>
      <c r="D43" s="258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78" t="s">
        <v>784</v>
      </c>
      <c r="D56" s="257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578" t="s">
        <v>1696</v>
      </c>
      <c r="D70" s="257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26062000061</v>
      </c>
    </row>
    <row r="3" spans="1:2" x14ac:dyDescent="0.2">
      <c r="A3" t="s">
        <v>956</v>
      </c>
      <c r="B3" s="138" t="str">
        <f>COVER!A15</f>
        <v>McDonough</v>
      </c>
    </row>
    <row r="4" spans="1:2" x14ac:dyDescent="0.2">
      <c r="A4" t="s">
        <v>1007</v>
      </c>
      <c r="B4" s="138" t="str">
        <f>COVER!A17</f>
        <v>West Central IL Spec Educ Coop</v>
      </c>
    </row>
    <row r="5" spans="1:2" x14ac:dyDescent="0.2">
      <c r="A5" t="s">
        <v>704</v>
      </c>
      <c r="B5" s="138" t="str">
        <f>COVER!A38</f>
        <v>Leyona Wiley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6250</v>
      </c>
      <c r="D76" s="2" t="str">
        <f t="shared" si="0"/>
        <v>Error?</v>
      </c>
    </row>
    <row r="77" spans="1:4" x14ac:dyDescent="0.2">
      <c r="A77" s="5">
        <v>16</v>
      </c>
      <c r="B77" s="138">
        <f>'Assets-Liab 5-6'!C13</f>
        <v>2471314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9896</v>
      </c>
      <c r="C91" s="2" t="s">
        <v>573</v>
      </c>
      <c r="D91" s="2" t="str">
        <f t="shared" si="0"/>
        <v>Error?</v>
      </c>
    </row>
    <row r="92" spans="1:4" x14ac:dyDescent="0.2">
      <c r="A92" s="5">
        <v>31</v>
      </c>
      <c r="B92" s="138">
        <f>'Assets-Liab 5-6'!C39</f>
        <v>2461418</v>
      </c>
      <c r="D92" s="2" t="str">
        <f t="shared" si="0"/>
        <v>Error?</v>
      </c>
    </row>
    <row r="93" spans="1:4" x14ac:dyDescent="0.2">
      <c r="A93" s="5">
        <v>32</v>
      </c>
      <c r="B93" s="138">
        <f>'Assets-Liab 5-6'!C41</f>
        <v>2471314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212619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212619</v>
      </c>
      <c r="C279" s="2" t="s">
        <v>573</v>
      </c>
      <c r="D279" s="2" t="str">
        <f t="shared" si="3"/>
        <v>Error?</v>
      </c>
    </row>
    <row r="280" spans="1:4" x14ac:dyDescent="0.2">
      <c r="A280" s="5">
        <v>219</v>
      </c>
      <c r="B280" s="138">
        <f>'Assets-Liab 5-6'!M40</f>
        <v>212619</v>
      </c>
      <c r="D280" s="2" t="str">
        <f t="shared" si="3"/>
        <v>Error?</v>
      </c>
    </row>
    <row r="281" spans="1:4" x14ac:dyDescent="0.2">
      <c r="A281" s="5">
        <v>220</v>
      </c>
      <c r="B281" s="138">
        <f>'Assets-Liab 5-6'!M41</f>
        <v>212619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34628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3419294</v>
      </c>
      <c r="C720" s="2" t="s">
        <v>573</v>
      </c>
      <c r="D720" s="2" t="str">
        <f t="shared" si="10"/>
        <v>Error?</v>
      </c>
    </row>
    <row r="721" spans="1:4" x14ac:dyDescent="0.2">
      <c r="A721" s="5">
        <v>660</v>
      </c>
      <c r="B721" s="138">
        <f>'Expenditures 15-22'!C36</f>
        <v>716747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732503</v>
      </c>
      <c r="D723" s="2" t="str">
        <f t="shared" si="10"/>
        <v>Error?</v>
      </c>
    </row>
    <row r="724" spans="1:4" x14ac:dyDescent="0.2">
      <c r="A724" s="5">
        <v>663</v>
      </c>
      <c r="B724" s="138">
        <f>'Expenditures 15-22'!C39</f>
        <v>105418</v>
      </c>
      <c r="D724" s="2" t="str">
        <f t="shared" si="10"/>
        <v>Error?</v>
      </c>
    </row>
    <row r="725" spans="1:4" x14ac:dyDescent="0.2">
      <c r="A725" s="5">
        <v>664</v>
      </c>
      <c r="B725" s="138">
        <f>'Expenditures 15-22'!C40</f>
        <v>216693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1771361</v>
      </c>
      <c r="C727" s="2" t="s">
        <v>573</v>
      </c>
      <c r="D727" s="2" t="str">
        <f t="shared" si="10"/>
        <v>Error?</v>
      </c>
    </row>
    <row r="728" spans="1:4" x14ac:dyDescent="0.2">
      <c r="A728" s="5">
        <v>667</v>
      </c>
      <c r="B728" s="138">
        <f>'Expenditures 15-22'!C44</f>
        <v>183934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183934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136253</v>
      </c>
      <c r="D733" s="2" t="str">
        <f t="shared" si="10"/>
        <v>Error?</v>
      </c>
    </row>
    <row r="734" spans="1:4" x14ac:dyDescent="0.2">
      <c r="A734" s="5">
        <v>673</v>
      </c>
      <c r="B734" s="138">
        <f>'Expenditures 15-22'!C53</f>
        <v>280961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119534</v>
      </c>
      <c r="D739" s="2" t="str">
        <f t="shared" si="10"/>
        <v>Error?</v>
      </c>
    </row>
    <row r="740" spans="1:4" x14ac:dyDescent="0.2">
      <c r="A740" s="5">
        <v>679</v>
      </c>
      <c r="B740" s="138">
        <f>'Expenditures 15-22'!C61</f>
        <v>69340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188874</v>
      </c>
      <c r="C745" s="2" t="s">
        <v>573</v>
      </c>
      <c r="D745" s="2" t="str">
        <f t="shared" si="10"/>
        <v>Error?</v>
      </c>
    </row>
    <row r="746" spans="1:4" x14ac:dyDescent="0.2">
      <c r="A746" s="5">
        <v>685</v>
      </c>
      <c r="B746" s="138">
        <f>'Expenditures 15-22'!C67</f>
        <v>43700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43700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2468830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5888124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16745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1340801</v>
      </c>
      <c r="C778" s="2" t="s">
        <v>573</v>
      </c>
      <c r="D778" s="2" t="str">
        <f t="shared" si="11"/>
        <v>Error?</v>
      </c>
    </row>
    <row r="779" spans="1:4" x14ac:dyDescent="0.2">
      <c r="A779" s="5">
        <v>718</v>
      </c>
      <c r="B779" s="138">
        <f>'Expenditures 15-22'!D36</f>
        <v>132856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223112</v>
      </c>
      <c r="D781" s="2" t="str">
        <f t="shared" si="11"/>
        <v>Error?</v>
      </c>
    </row>
    <row r="782" spans="1:4" x14ac:dyDescent="0.2">
      <c r="A782" s="5">
        <v>721</v>
      </c>
      <c r="B782" s="138">
        <f>'Expenditures 15-22'!D39</f>
        <v>21980</v>
      </c>
      <c r="D782" s="2" t="str">
        <f t="shared" si="11"/>
        <v>Error?</v>
      </c>
    </row>
    <row r="783" spans="1:4" x14ac:dyDescent="0.2">
      <c r="A783" s="5">
        <v>722</v>
      </c>
      <c r="B783" s="138">
        <f>'Expenditures 15-22'!D40</f>
        <v>64571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442519</v>
      </c>
      <c r="C785" s="2" t="s">
        <v>573</v>
      </c>
      <c r="D785" s="2" t="str">
        <f t="shared" si="11"/>
        <v>Error?</v>
      </c>
    </row>
    <row r="786" spans="1:4" x14ac:dyDescent="0.2">
      <c r="A786" s="5">
        <v>725</v>
      </c>
      <c r="B786" s="138">
        <f>'Expenditures 15-22'!D44</f>
        <v>30787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30787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29407</v>
      </c>
      <c r="D791" s="2" t="str">
        <f t="shared" si="11"/>
        <v>Error?</v>
      </c>
    </row>
    <row r="792" spans="1:4" x14ac:dyDescent="0.2">
      <c r="A792" s="5">
        <v>731</v>
      </c>
      <c r="B792" s="138">
        <f>'Expenditures 15-22'!D53</f>
        <v>93765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61276</v>
      </c>
      <c r="D797" s="2" t="str">
        <f t="shared" si="11"/>
        <v>Error?</v>
      </c>
    </row>
    <row r="798" spans="1:4" x14ac:dyDescent="0.2">
      <c r="A798" s="5">
        <v>737</v>
      </c>
      <c r="B798" s="138">
        <f>'Expenditures 15-22'!D61</f>
        <v>2221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63497</v>
      </c>
      <c r="C803" s="2" t="s">
        <v>573</v>
      </c>
      <c r="D803" s="2" t="str">
        <f t="shared" si="11"/>
        <v>Error?</v>
      </c>
    </row>
    <row r="804" spans="1:4" x14ac:dyDescent="0.2">
      <c r="A804" s="5">
        <v>743</v>
      </c>
      <c r="B804" s="138">
        <f>'Expenditures 15-22'!D67</f>
        <v>16210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16210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646778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1987579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7367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71920</v>
      </c>
      <c r="C836" s="2" t="s">
        <v>573</v>
      </c>
      <c r="D836" s="2" t="str">
        <f t="shared" si="12"/>
        <v>Error?</v>
      </c>
    </row>
    <row r="837" spans="1:4" x14ac:dyDescent="0.2">
      <c r="A837" s="5">
        <v>776</v>
      </c>
      <c r="B837" s="138">
        <f>'Expenditures 15-22'!E36</f>
        <v>40213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59169</v>
      </c>
      <c r="D839" s="2" t="str">
        <f t="shared" si="12"/>
        <v>Error?</v>
      </c>
    </row>
    <row r="840" spans="1:4" x14ac:dyDescent="0.2">
      <c r="A840" s="5">
        <v>779</v>
      </c>
      <c r="B840" s="138">
        <f>'Expenditures 15-22'!E39</f>
        <v>3403</v>
      </c>
      <c r="D840" s="2" t="str">
        <f t="shared" si="12"/>
        <v>Error?</v>
      </c>
    </row>
    <row r="841" spans="1:4" x14ac:dyDescent="0.2">
      <c r="A841" s="5">
        <v>780</v>
      </c>
      <c r="B841" s="138">
        <f>'Expenditures 15-22'!E40</f>
        <v>8001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110786</v>
      </c>
      <c r="C843" s="2" t="s">
        <v>573</v>
      </c>
      <c r="D843" s="2" t="str">
        <f t="shared" si="12"/>
        <v>Error?</v>
      </c>
    </row>
    <row r="844" spans="1:4" x14ac:dyDescent="0.2">
      <c r="A844" s="5">
        <v>783</v>
      </c>
      <c r="B844" s="138">
        <f>'Expenditures 15-22'!E44</f>
        <v>77432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77432</v>
      </c>
      <c r="C847" s="2" t="s">
        <v>573</v>
      </c>
      <c r="D847" s="2" t="str">
        <f t="shared" si="12"/>
        <v>Error?</v>
      </c>
    </row>
    <row r="848" spans="1:4" x14ac:dyDescent="0.2">
      <c r="A848" s="5">
        <v>787</v>
      </c>
      <c r="B848" s="138">
        <f>'Expenditures 15-22'!E49</f>
        <v>11771</v>
      </c>
      <c r="D848" s="2" t="str">
        <f t="shared" si="12"/>
        <v>Error?</v>
      </c>
    </row>
    <row r="849" spans="1:4" x14ac:dyDescent="0.2">
      <c r="A849" s="5">
        <v>788</v>
      </c>
      <c r="B849" s="138">
        <f>'Expenditures 15-22'!E50</f>
        <v>22719</v>
      </c>
      <c r="D849" s="2" t="str">
        <f t="shared" si="12"/>
        <v>Error?</v>
      </c>
    </row>
    <row r="850" spans="1:4" x14ac:dyDescent="0.2">
      <c r="A850" s="5">
        <v>789</v>
      </c>
      <c r="B850" s="138">
        <f>'Expenditures 15-22'!E53</f>
        <v>100239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20827</v>
      </c>
      <c r="D854" s="2" t="str">
        <f t="shared" si="12"/>
        <v>Error?</v>
      </c>
    </row>
    <row r="855" spans="1:4" x14ac:dyDescent="0.2">
      <c r="A855" s="5">
        <v>794</v>
      </c>
      <c r="B855" s="138">
        <f>'Expenditures 15-22'!E60</f>
        <v>79856</v>
      </c>
      <c r="D855" s="2" t="str">
        <f t="shared" si="12"/>
        <v>Error?</v>
      </c>
    </row>
    <row r="856" spans="1:4" x14ac:dyDescent="0.2">
      <c r="A856" s="5">
        <v>795</v>
      </c>
      <c r="B856" s="138">
        <f>'Expenditures 15-22'!E61</f>
        <v>253570</v>
      </c>
      <c r="D856" s="2" t="str">
        <f t="shared" si="12"/>
        <v>Error?</v>
      </c>
    </row>
    <row r="857" spans="1:4" x14ac:dyDescent="0.2">
      <c r="A857" s="5">
        <v>796</v>
      </c>
      <c r="B857" s="138">
        <f>'Expenditures 15-22'!E62</f>
        <v>9043</v>
      </c>
      <c r="D857" s="2" t="str">
        <f t="shared" si="12"/>
        <v>Error?</v>
      </c>
    </row>
    <row r="858" spans="1:4" x14ac:dyDescent="0.2">
      <c r="A858" s="5">
        <v>797</v>
      </c>
      <c r="B858" s="138">
        <f>'Expenditures 15-22'!E63</f>
        <v>29568</v>
      </c>
      <c r="D858" s="2" t="str">
        <f t="shared" si="12"/>
        <v>Error?</v>
      </c>
    </row>
    <row r="859" spans="1:4" x14ac:dyDescent="0.2">
      <c r="A859" s="5">
        <v>798</v>
      </c>
      <c r="B859" s="138">
        <f>'Expenditures 15-22'!E64</f>
        <v>14635</v>
      </c>
      <c r="D859" s="2" t="str">
        <f t="shared" si="12"/>
        <v>Error?</v>
      </c>
    </row>
    <row r="860" spans="1:4" x14ac:dyDescent="0.2">
      <c r="A860" s="10">
        <v>799</v>
      </c>
      <c r="D860" s="2" t="str">
        <f t="shared" si="12"/>
        <v>OK</v>
      </c>
    </row>
    <row r="861" spans="1:4" x14ac:dyDescent="0.2">
      <c r="A861" s="5">
        <v>800</v>
      </c>
      <c r="B861" s="138">
        <f>'Expenditures 15-22'!E65</f>
        <v>407499</v>
      </c>
      <c r="C861" s="2" t="s">
        <v>573</v>
      </c>
      <c r="D861" s="2" t="str">
        <f t="shared" si="12"/>
        <v>Error?</v>
      </c>
    </row>
    <row r="862" spans="1:4" x14ac:dyDescent="0.2">
      <c r="A862" s="5">
        <v>801</v>
      </c>
      <c r="B862" s="138">
        <f>'Expenditures 15-22'!E67</f>
        <v>16524</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120000</v>
      </c>
      <c r="D867" s="2" t="str">
        <f t="shared" si="12"/>
        <v>Error?</v>
      </c>
    </row>
    <row r="868" spans="1:4" x14ac:dyDescent="0.2">
      <c r="A868" s="10">
        <v>807</v>
      </c>
      <c r="D868" s="2" t="str">
        <f t="shared" si="12"/>
        <v>OK</v>
      </c>
    </row>
    <row r="869" spans="1:4" x14ac:dyDescent="0.2">
      <c r="A869" s="5">
        <v>808</v>
      </c>
      <c r="B869" s="138">
        <f>'Expenditures 15-22'!E72</f>
        <v>136524</v>
      </c>
      <c r="C869" s="2" t="s">
        <v>573</v>
      </c>
      <c r="D869" s="2" t="str">
        <f t="shared" si="12"/>
        <v>Error?</v>
      </c>
    </row>
    <row r="870" spans="1:4" x14ac:dyDescent="0.2">
      <c r="A870" s="5">
        <v>809</v>
      </c>
      <c r="B870" s="138">
        <f>'Expenditures 15-22'!E73</f>
        <v>71</v>
      </c>
      <c r="D870" s="2" t="str">
        <f t="shared" si="12"/>
        <v>Error?</v>
      </c>
    </row>
    <row r="871" spans="1:4" x14ac:dyDescent="0.2">
      <c r="A871" s="5">
        <v>810</v>
      </c>
      <c r="B871" s="138">
        <f>'Expenditures 15-22'!E74</f>
        <v>832551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990318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39280</v>
      </c>
      <c r="C894" s="2" t="s">
        <v>573</v>
      </c>
      <c r="D894" s="2" t="str">
        <f t="shared" si="12"/>
        <v>Error?</v>
      </c>
    </row>
    <row r="895" spans="1:4" x14ac:dyDescent="0.2">
      <c r="A895" s="5">
        <v>834</v>
      </c>
      <c r="B895" s="138">
        <f>'Expenditures 15-22'!F36</f>
        <v>2433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2966</v>
      </c>
      <c r="D897" s="2" t="str">
        <f t="shared" si="13"/>
        <v>Error?</v>
      </c>
    </row>
    <row r="898" spans="1:4" x14ac:dyDescent="0.2">
      <c r="A898" s="5">
        <v>837</v>
      </c>
      <c r="B898" s="138">
        <f>'Expenditures 15-22'!F39</f>
        <v>528</v>
      </c>
      <c r="D898" s="2" t="str">
        <f t="shared" si="13"/>
        <v>Error?</v>
      </c>
    </row>
    <row r="899" spans="1:4" x14ac:dyDescent="0.2">
      <c r="A899" s="5">
        <v>838</v>
      </c>
      <c r="B899" s="138">
        <f>'Expenditures 15-22'!F40</f>
        <v>940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6867</v>
      </c>
      <c r="C901" s="2" t="s">
        <v>573</v>
      </c>
      <c r="D901" s="2" t="str">
        <f t="shared" si="13"/>
        <v>Error?</v>
      </c>
    </row>
    <row r="902" spans="1:4" x14ac:dyDescent="0.2">
      <c r="A902" s="5">
        <v>841</v>
      </c>
      <c r="B902" s="138">
        <f>'Expenditures 15-22'!F44</f>
        <v>2361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2361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4180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4670</v>
      </c>
      <c r="D913" s="2" t="str">
        <f t="shared" si="13"/>
        <v>Error?</v>
      </c>
    </row>
    <row r="914" spans="1:4" x14ac:dyDescent="0.2">
      <c r="A914" s="5">
        <v>853</v>
      </c>
      <c r="B914" s="138">
        <f>'Expenditures 15-22'!F61</f>
        <v>7739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12409</v>
      </c>
      <c r="C919" s="2" t="s">
        <v>573</v>
      </c>
      <c r="D919" s="2" t="str">
        <f t="shared" si="13"/>
        <v>Error?</v>
      </c>
    </row>
    <row r="920" spans="1:4" x14ac:dyDescent="0.2">
      <c r="A920" s="5">
        <v>859</v>
      </c>
      <c r="B920" s="138">
        <f>'Expenditures 15-22'!F67</f>
        <v>19068</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624</v>
      </c>
      <c r="D925" s="2" t="str">
        <f t="shared" si="13"/>
        <v>Error?</v>
      </c>
    </row>
    <row r="926" spans="1:4" x14ac:dyDescent="0.2">
      <c r="A926" s="10">
        <v>865</v>
      </c>
      <c r="D926" s="2" t="str">
        <f t="shared" si="13"/>
        <v>OK</v>
      </c>
    </row>
    <row r="927" spans="1:4" x14ac:dyDescent="0.2">
      <c r="A927" s="5">
        <v>866</v>
      </c>
      <c r="B927" s="138">
        <f>'Expenditures 15-22'!F72</f>
        <v>19692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45509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84789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14521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1995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1995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13773</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13773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15768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30289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110209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110209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58740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4885816</v>
      </c>
      <c r="C1108" s="2" t="s">
        <v>573</v>
      </c>
      <c r="D1108" s="2" t="str">
        <f t="shared" si="16"/>
        <v>Error?</v>
      </c>
    </row>
    <row r="1109" spans="1:4" x14ac:dyDescent="0.2">
      <c r="A1109" s="5">
        <v>1048</v>
      </c>
      <c r="B1109" s="138">
        <f>'Expenditures 15-22'!K36</f>
        <v>892249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1019745</v>
      </c>
      <c r="C1111" s="2" t="s">
        <v>573</v>
      </c>
      <c r="D1111" s="2" t="str">
        <f t="shared" si="16"/>
        <v>Error?</v>
      </c>
    </row>
    <row r="1112" spans="1:4" x14ac:dyDescent="0.2">
      <c r="A1112" s="5">
        <v>1051</v>
      </c>
      <c r="B1112" s="138">
        <f>'Expenditures 15-22'!K39</f>
        <v>131329</v>
      </c>
      <c r="C1112" s="2" t="s">
        <v>573</v>
      </c>
      <c r="D1112" s="2" t="str">
        <f t="shared" si="16"/>
        <v>Error?</v>
      </c>
    </row>
    <row r="1113" spans="1:4" x14ac:dyDescent="0.2">
      <c r="A1113" s="5">
        <v>1052</v>
      </c>
      <c r="B1113" s="138">
        <f>'Expenditures 15-22'!K40</f>
        <v>290205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2333528</v>
      </c>
      <c r="C1115" s="2" t="s">
        <v>573</v>
      </c>
      <c r="D1115" s="2" t="str">
        <f t="shared" si="16"/>
        <v>Error?</v>
      </c>
    </row>
    <row r="1116" spans="1:4" x14ac:dyDescent="0.2">
      <c r="A1116" s="5">
        <v>1055</v>
      </c>
      <c r="B1116" s="138">
        <f>'Expenditures 15-22'!K44</f>
        <v>294514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294514</v>
      </c>
      <c r="C1119" s="2" t="s">
        <v>573</v>
      </c>
      <c r="D1119" s="2" t="str">
        <f t="shared" si="16"/>
        <v>Error?</v>
      </c>
    </row>
    <row r="1120" spans="1:4" x14ac:dyDescent="0.2">
      <c r="A1120" s="5">
        <v>1059</v>
      </c>
      <c r="B1120" s="138">
        <f>'Expenditures 15-22'!K49</f>
        <v>11771</v>
      </c>
      <c r="C1120" s="2" t="s">
        <v>573</v>
      </c>
      <c r="D1120" s="2" t="str">
        <f t="shared" si="16"/>
        <v>Error?</v>
      </c>
    </row>
    <row r="1121" spans="1:4" x14ac:dyDescent="0.2">
      <c r="A1121" s="5">
        <v>1060</v>
      </c>
      <c r="B1121" s="138">
        <f>'Expenditures 15-22'!K50</f>
        <v>188379</v>
      </c>
      <c r="C1121" s="2" t="s">
        <v>573</v>
      </c>
      <c r="D1121" s="2" t="str">
        <f t="shared" si="16"/>
        <v>Error?</v>
      </c>
    </row>
    <row r="1122" spans="1:4" x14ac:dyDescent="0.2">
      <c r="A1122" s="5">
        <v>1061</v>
      </c>
      <c r="B1122" s="138">
        <f>'Expenditures 15-22'!K53</f>
        <v>479145</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20827</v>
      </c>
      <c r="C1126" s="2" t="s">
        <v>573</v>
      </c>
      <c r="D1126" s="2" t="str">
        <f t="shared" si="16"/>
        <v>Error?</v>
      </c>
    </row>
    <row r="1127" spans="1:4" x14ac:dyDescent="0.2">
      <c r="A1127" s="5">
        <v>1066</v>
      </c>
      <c r="B1127" s="138">
        <f>'Expenditures 15-22'!K60</f>
        <v>265336</v>
      </c>
      <c r="C1127" s="2" t="s">
        <v>573</v>
      </c>
      <c r="D1127" s="2" t="str">
        <f t="shared" si="16"/>
        <v>Error?</v>
      </c>
    </row>
    <row r="1128" spans="1:4" x14ac:dyDescent="0.2">
      <c r="A1128" s="5">
        <v>1067</v>
      </c>
      <c r="B1128" s="138">
        <f>'Expenditures 15-22'!K61</f>
        <v>332870</v>
      </c>
      <c r="C1128" s="2" t="s">
        <v>573</v>
      </c>
      <c r="D1128" s="2" t="str">
        <f t="shared" si="16"/>
        <v>Error?</v>
      </c>
    </row>
    <row r="1129" spans="1:4" x14ac:dyDescent="0.2">
      <c r="A1129" s="5">
        <v>1068</v>
      </c>
      <c r="B1129" s="138">
        <f>'Expenditures 15-22'!K62</f>
        <v>9043</v>
      </c>
      <c r="C1129" s="2" t="s">
        <v>573</v>
      </c>
      <c r="D1129" s="2" t="str">
        <f t="shared" si="16"/>
        <v>Error?</v>
      </c>
    </row>
    <row r="1130" spans="1:4" x14ac:dyDescent="0.2">
      <c r="A1130" s="5">
        <v>1069</v>
      </c>
      <c r="B1130" s="138">
        <f>'Expenditures 15-22'!K63</f>
        <v>29568</v>
      </c>
      <c r="C1130" s="2" t="s">
        <v>573</v>
      </c>
      <c r="D1130" s="2" t="str">
        <f t="shared" si="16"/>
        <v>Error?</v>
      </c>
    </row>
    <row r="1131" spans="1:4" x14ac:dyDescent="0.2">
      <c r="A1131" s="5">
        <v>1070</v>
      </c>
      <c r="B1131" s="138">
        <f>'Expenditures 15-22'!K64</f>
        <v>14635</v>
      </c>
      <c r="C1131" s="2" t="s">
        <v>573</v>
      </c>
      <c r="D1131" s="2" t="str">
        <f t="shared" si="16"/>
        <v>Error?</v>
      </c>
    </row>
    <row r="1132" spans="1:4" x14ac:dyDescent="0.2">
      <c r="A1132" s="10">
        <v>1071</v>
      </c>
      <c r="D1132" s="2" t="str">
        <f t="shared" si="16"/>
        <v>OK</v>
      </c>
    </row>
    <row r="1133" spans="1:4" x14ac:dyDescent="0.2">
      <c r="A1133" s="5">
        <v>1072</v>
      </c>
      <c r="B1133" s="138">
        <f>'Expenditures 15-22'!K65</f>
        <v>672279</v>
      </c>
      <c r="C1133" s="2" t="s">
        <v>573</v>
      </c>
      <c r="D1133" s="2" t="str">
        <f t="shared" si="16"/>
        <v>Error?</v>
      </c>
    </row>
    <row r="1134" spans="1:4" x14ac:dyDescent="0.2">
      <c r="A1134" s="5">
        <v>1073</v>
      </c>
      <c r="B1134" s="138">
        <f>'Expenditures 15-22'!K67</f>
        <v>109275</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120624</v>
      </c>
      <c r="C1139" s="2" t="s">
        <v>573</v>
      </c>
      <c r="D1139" s="2" t="str">
        <f t="shared" si="16"/>
        <v>Error?</v>
      </c>
    </row>
    <row r="1140" spans="1:4" x14ac:dyDescent="0.2">
      <c r="A1140" s="10">
        <v>1079</v>
      </c>
      <c r="D1140" s="2" t="str">
        <f t="shared" si="16"/>
        <v>OK</v>
      </c>
    </row>
    <row r="1141" spans="1:4" x14ac:dyDescent="0.2">
      <c r="A1141" s="5">
        <v>1080</v>
      </c>
      <c r="B1141" s="138">
        <f>'Expenditures 15-22'!K72</f>
        <v>229899</v>
      </c>
      <c r="C1141" s="2" t="s">
        <v>573</v>
      </c>
      <c r="D1141" s="2" t="str">
        <f t="shared" si="16"/>
        <v>Error?</v>
      </c>
    </row>
    <row r="1142" spans="1:4" x14ac:dyDescent="0.2">
      <c r="A1142" s="5">
        <v>1081</v>
      </c>
      <c r="B1142" s="138">
        <f>'Expenditures 15-22'!K73</f>
        <v>71</v>
      </c>
      <c r="C1142" s="2" t="s">
        <v>573</v>
      </c>
      <c r="D1142" s="2" t="str">
        <f t="shared" si="16"/>
        <v>Error?</v>
      </c>
    </row>
    <row r="1143" spans="1:4" x14ac:dyDescent="0.2">
      <c r="A1143" s="5">
        <v>1082</v>
      </c>
      <c r="B1143" s="138">
        <f>'Expenditures 15-22'!K74</f>
        <v>4009436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196056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9091308</v>
      </c>
      <c r="C1152" s="2" t="s">
        <v>573</v>
      </c>
      <c r="D1152" s="2" t="str">
        <f t="shared" si="17"/>
        <v>Error?</v>
      </c>
    </row>
    <row r="1153" spans="1:4" x14ac:dyDescent="0.2">
      <c r="A1153" s="5">
        <v>1092</v>
      </c>
      <c r="B1153" s="138">
        <f>'Expenditures 15-22'!K115</f>
        <v>884398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1577020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2461418</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227629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227629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30289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30289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45299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45299</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212619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212619</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212619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212619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85847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4936115</v>
      </c>
      <c r="C2551" s="2" t="s">
        <v>573</v>
      </c>
      <c r="D2551" s="2" t="str">
        <f t="shared" si="38"/>
        <v>Error?</v>
      </c>
    </row>
    <row r="2552" spans="1:4" x14ac:dyDescent="0.2">
      <c r="A2552" s="10">
        <v>2491</v>
      </c>
      <c r="D2552" s="2" t="str">
        <f t="shared" si="38"/>
        <v>OK</v>
      </c>
    </row>
    <row r="2553" spans="1:4" x14ac:dyDescent="0.2">
      <c r="A2553" s="5">
        <v>2492</v>
      </c>
      <c r="B2553" s="138">
        <f>'Acct Summary 7-8'!C6</f>
        <v>655573</v>
      </c>
      <c r="C2553" s="2" t="s">
        <v>573</v>
      </c>
      <c r="D2553" s="2" t="str">
        <f t="shared" si="38"/>
        <v>Error?</v>
      </c>
    </row>
    <row r="2554" spans="1:4" x14ac:dyDescent="0.2">
      <c r="A2554" s="5">
        <v>2493</v>
      </c>
      <c r="B2554" s="138">
        <f>'Acct Summary 7-8'!C7</f>
        <v>4273809</v>
      </c>
      <c r="C2554" s="2" t="s">
        <v>573</v>
      </c>
      <c r="D2554" s="2" t="str">
        <f t="shared" si="38"/>
        <v>Error?</v>
      </c>
    </row>
    <row r="2555" spans="1:4" x14ac:dyDescent="0.2">
      <c r="A2555" s="5">
        <v>2494</v>
      </c>
      <c r="B2555" s="138">
        <f>'Acct Summary 7-8'!C8</f>
        <v>9975706</v>
      </c>
      <c r="C2555" s="2" t="s">
        <v>573</v>
      </c>
      <c r="D2555" s="2" t="str">
        <f t="shared" si="38"/>
        <v>Error?</v>
      </c>
    </row>
    <row r="2556" spans="1:4" x14ac:dyDescent="0.2">
      <c r="A2556" s="5">
        <v>2495</v>
      </c>
      <c r="B2556" s="138">
        <f>'Acct Summary 7-8'!C12</f>
        <v>4885816</v>
      </c>
      <c r="C2556" s="2" t="s">
        <v>573</v>
      </c>
      <c r="D2556" s="2" t="str">
        <f t="shared" si="38"/>
        <v>Error?</v>
      </c>
    </row>
    <row r="2557" spans="1:4" x14ac:dyDescent="0.2">
      <c r="A2557" s="5">
        <v>2496</v>
      </c>
      <c r="B2557" s="138">
        <f>'Acct Summary 7-8'!C13</f>
        <v>4009436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196056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9091308</v>
      </c>
      <c r="C2561" s="2" t="s">
        <v>573</v>
      </c>
      <c r="D2561" s="2" t="str">
        <f t="shared" si="39"/>
        <v>Error?</v>
      </c>
    </row>
    <row r="2562" spans="1:4" x14ac:dyDescent="0.2">
      <c r="A2562" s="5">
        <v>2501</v>
      </c>
      <c r="B2562" s="138">
        <f>'Acct Summary 7-8'!C20</f>
        <v>884398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144708</v>
      </c>
      <c r="D2718" s="2" t="str">
        <f t="shared" si="41"/>
        <v>Error?</v>
      </c>
    </row>
    <row r="2719" spans="1:4" x14ac:dyDescent="0.2">
      <c r="A2719" s="5">
        <v>2658</v>
      </c>
      <c r="B2719" s="138">
        <f>'Expenditures 15-22'!D51</f>
        <v>64358</v>
      </c>
      <c r="D2719" s="2" t="str">
        <f t="shared" si="41"/>
        <v>Error?</v>
      </c>
    </row>
    <row r="2720" spans="1:4" x14ac:dyDescent="0.2">
      <c r="A2720" s="5">
        <v>2659</v>
      </c>
      <c r="B2720" s="138">
        <f>'Expenditures 15-22'!E51</f>
        <v>65749</v>
      </c>
      <c r="D2720" s="2" t="str">
        <f t="shared" si="41"/>
        <v>Error?</v>
      </c>
    </row>
    <row r="2721" spans="1:4" x14ac:dyDescent="0.2">
      <c r="A2721" s="5">
        <v>2660</v>
      </c>
      <c r="B2721" s="138">
        <f>'Expenditures 15-22'!F51</f>
        <v>4180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278995</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85847</v>
      </c>
      <c r="C2789" s="2" t="s">
        <v>573</v>
      </c>
      <c r="D2789" s="2" t="str">
        <f t="shared" si="42"/>
        <v>Error?</v>
      </c>
    </row>
    <row r="2790" spans="1:4" x14ac:dyDescent="0.2">
      <c r="A2790" s="5">
        <v>2729</v>
      </c>
      <c r="B2790" s="138">
        <f>'Expenditures 15-22'!E102</f>
        <v>85847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35174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15292</v>
      </c>
      <c r="D2914" s="2" t="str">
        <f t="shared" si="44"/>
        <v>Error?</v>
      </c>
    </row>
    <row r="2915" spans="1:4" x14ac:dyDescent="0.2">
      <c r="A2915" s="10">
        <v>2854</v>
      </c>
      <c r="D2915" s="2" t="str">
        <f t="shared" si="44"/>
        <v>OK</v>
      </c>
    </row>
    <row r="2916" spans="1:4" x14ac:dyDescent="0.2">
      <c r="A2916" s="5">
        <v>2855</v>
      </c>
      <c r="B2916" s="138">
        <f>'Assets-Liab 5-6'!L34</f>
        <v>15292</v>
      </c>
      <c r="C2916" s="2" t="s">
        <v>573</v>
      </c>
      <c r="D2916" s="2" t="str">
        <f t="shared" si="44"/>
        <v>Error?</v>
      </c>
    </row>
    <row r="2917" spans="1:4" x14ac:dyDescent="0.2">
      <c r="A2917" s="5">
        <v>2856</v>
      </c>
      <c r="B2917" s="138">
        <f>'Assets-Liab 5-6'!L41</f>
        <v>35174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85847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85847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19882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884398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3384666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1324056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64553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39280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14521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4827076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110209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2448096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35174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2369058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12344764</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2369058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11460366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2461418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39444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239776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4425548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4425548</v>
      </c>
      <c r="C5087" s="2" t="s">
        <v>573</v>
      </c>
      <c r="D5087" s="2" t="str">
        <f t="shared" si="78"/>
        <v>Error?</v>
      </c>
    </row>
    <row r="5088" spans="1:4" x14ac:dyDescent="0.2">
      <c r="A5088" s="5">
        <v>5027</v>
      </c>
      <c r="B5088" s="138">
        <f>'Revenues 9-14'!C65</f>
        <v>18959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18959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1470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69</v>
      </c>
      <c r="D5114" s="2" t="str">
        <f t="shared" si="78"/>
        <v>Error?</v>
      </c>
    </row>
    <row r="5115" spans="1:4" x14ac:dyDescent="0.2">
      <c r="A5115" s="5">
        <v>5054</v>
      </c>
      <c r="B5115" s="138">
        <f>'Revenues 9-14'!C98</f>
        <v>286332</v>
      </c>
      <c r="D5115" s="2" t="str">
        <f t="shared" si="78"/>
        <v>Error?</v>
      </c>
    </row>
    <row r="5116" spans="1:4" x14ac:dyDescent="0.2">
      <c r="A5116" s="5">
        <v>5055</v>
      </c>
      <c r="B5116" s="138">
        <f>'Revenues 9-14'!C99</f>
        <v>203737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490138</v>
      </c>
      <c r="C5120" s="2" t="s">
        <v>573</v>
      </c>
      <c r="D5120" s="2" t="str">
        <f t="shared" si="79"/>
        <v>Error?</v>
      </c>
    </row>
    <row r="5121" spans="1:4" x14ac:dyDescent="0.2">
      <c r="A5121" s="5">
        <v>5060</v>
      </c>
      <c r="B5121" s="138">
        <f>'Revenues 9-14'!C109</f>
        <v>4936115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110209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110209</v>
      </c>
      <c r="C5125" s="2" t="s">
        <v>573</v>
      </c>
      <c r="D5125" s="2" t="str">
        <f t="shared" si="79"/>
        <v>Error?</v>
      </c>
    </row>
    <row r="5126" spans="1:4" x14ac:dyDescent="0.2">
      <c r="A5126" s="5">
        <v>5065</v>
      </c>
      <c r="B5126" s="138">
        <f>'Revenues 9-14'!C117</f>
        <v>654901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654901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672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672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655573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14516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38382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154189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3802018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3956207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4273809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4273809</v>
      </c>
      <c r="C5326" s="2" t="s">
        <v>573</v>
      </c>
      <c r="D5326" s="2" t="str">
        <f t="shared" si="82"/>
        <v>Error?</v>
      </c>
    </row>
    <row r="5327" spans="1:5" x14ac:dyDescent="0.2">
      <c r="A5327" s="5">
        <v>5266</v>
      </c>
      <c r="B5327" s="138">
        <f>'Revenues 9-14'!C268</f>
        <v>9975706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1405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16968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9896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884398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0.35930427095275974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110209</v>
      </c>
      <c r="D6998" s="2" t="str">
        <f t="shared" si="108"/>
        <v>Error?</v>
      </c>
    </row>
    <row r="6999" spans="1:4" x14ac:dyDescent="0.2">
      <c r="A6999">
        <v>6938</v>
      </c>
      <c r="B6999" s="138">
        <f>'Expenditures 15-22'!K94</f>
        <v>110209</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110209</v>
      </c>
      <c r="D7012" s="2" t="str">
        <f t="shared" si="108"/>
        <v>Error?</v>
      </c>
    </row>
    <row r="7013" spans="1:4" x14ac:dyDescent="0.2">
      <c r="A7013">
        <v>6952</v>
      </c>
      <c r="B7013" s="138">
        <f>'Expenditures 15-22'!K100</f>
        <v>110209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92875</v>
      </c>
      <c r="D7797" s="2" t="str">
        <f t="shared" si="127"/>
        <v>Error?</v>
      </c>
      <c r="E7797" s="4" t="s">
        <v>1901</v>
      </c>
    </row>
    <row r="7798" spans="1:5" x14ac:dyDescent="0.2">
      <c r="A7798">
        <v>7737</v>
      </c>
      <c r="B7798" s="138">
        <f>'Contracts Paid in CY 29'!F141</f>
        <v>50000</v>
      </c>
      <c r="D7798" s="2" t="str">
        <f t="shared" si="127"/>
        <v>Error?</v>
      </c>
      <c r="E7798" s="4" t="s">
        <v>1901</v>
      </c>
    </row>
    <row r="7799" spans="1:5" x14ac:dyDescent="0.2">
      <c r="A7799">
        <v>7738</v>
      </c>
      <c r="B7799" s="138">
        <f>'Contracts Paid in CY 29'!G141</f>
        <v>42875</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611" t="s">
        <v>1191</v>
      </c>
      <c r="B2" s="2611"/>
      <c r="C2" s="2611"/>
      <c r="D2" s="2611"/>
      <c r="E2" s="2611"/>
      <c r="F2" s="2611"/>
      <c r="G2" s="2611"/>
      <c r="H2" s="2611"/>
      <c r="I2" s="2611"/>
      <c r="J2" s="2611"/>
      <c r="K2" s="2611"/>
      <c r="L2" s="2611"/>
    </row>
    <row r="3" spans="1:29" ht="13.5" customHeight="1" x14ac:dyDescent="0.2">
      <c r="A3" s="2597" t="s">
        <v>1190</v>
      </c>
      <c r="B3" s="2597"/>
      <c r="C3" s="2597"/>
      <c r="D3" s="2597"/>
      <c r="E3" s="2597"/>
      <c r="F3" s="2597"/>
      <c r="G3" s="2597"/>
      <c r="H3" s="2597"/>
      <c r="I3" s="2597"/>
      <c r="J3" s="2597"/>
      <c r="K3" s="2597"/>
      <c r="L3" s="2597"/>
    </row>
    <row r="4" spans="1:29" ht="13.5" customHeight="1" x14ac:dyDescent="0.2">
      <c r="A4" s="2611" t="s">
        <v>1986</v>
      </c>
      <c r="B4" s="2628"/>
      <c r="C4" s="2628"/>
      <c r="D4" s="2628"/>
      <c r="E4" s="2628"/>
      <c r="F4" s="2628"/>
      <c r="G4" s="2628"/>
      <c r="H4" s="2628"/>
      <c r="I4" s="2628"/>
      <c r="J4" s="2628"/>
      <c r="K4" s="2628"/>
      <c r="L4" s="262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91" t="str">
        <f>COVER!A17</f>
        <v>West Central IL Spec Educ Coop</v>
      </c>
      <c r="B7" s="2592"/>
      <c r="C7" s="2592"/>
      <c r="D7" s="2629"/>
      <c r="E7" s="2630">
        <f>COVER!A13</f>
        <v>26062000061</v>
      </c>
      <c r="F7" s="2631"/>
      <c r="G7" s="2598" t="str">
        <f>COVER!T23</f>
        <v>066-005027</v>
      </c>
      <c r="H7" s="2599"/>
      <c r="I7" s="2599"/>
      <c r="J7" s="2599"/>
      <c r="K7" s="2599"/>
      <c r="L7" s="260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601"/>
      <c r="B9" s="2602"/>
      <c r="C9" s="2602"/>
      <c r="D9" s="2602"/>
      <c r="E9" s="2602"/>
      <c r="F9" s="2603"/>
      <c r="G9" s="2604" t="str">
        <f>COVER!T13</f>
        <v>Gorenz and Associates, Ltd.</v>
      </c>
      <c r="H9" s="2605"/>
      <c r="I9" s="2605"/>
      <c r="J9" s="2605"/>
      <c r="K9" s="2605"/>
      <c r="L9" s="2606"/>
    </row>
    <row r="10" spans="1:29" ht="13.5" customHeight="1" x14ac:dyDescent="0.2">
      <c r="A10" s="2588" t="str">
        <f>COVER!A38</f>
        <v>Leyona Wiley</v>
      </c>
      <c r="B10" s="2589"/>
      <c r="C10" s="2589"/>
      <c r="D10" s="2589"/>
      <c r="E10" s="2589"/>
      <c r="F10" s="2590"/>
      <c r="G10" s="2604" t="str">
        <f>COVER!T17</f>
        <v>4200 N Knoxville Ave</v>
      </c>
      <c r="H10" s="2617"/>
      <c r="I10" s="2617"/>
      <c r="J10" s="2617"/>
      <c r="K10" s="2617"/>
      <c r="L10" s="2618"/>
    </row>
    <row r="11" spans="1:29" ht="13.5" customHeight="1" x14ac:dyDescent="0.2">
      <c r="A11" s="1181" t="s">
        <v>1519</v>
      </c>
      <c r="B11" s="1182"/>
      <c r="C11" s="1183"/>
      <c r="D11" s="1188"/>
      <c r="E11" s="1183"/>
      <c r="F11" s="1187"/>
      <c r="G11" s="2604" t="str">
        <f>COVER!T19</f>
        <v>Peoria</v>
      </c>
      <c r="H11" s="2617"/>
      <c r="I11" s="2617"/>
      <c r="J11" s="2617"/>
      <c r="K11" s="2617"/>
      <c r="L11" s="2618"/>
    </row>
    <row r="12" spans="1:29" ht="13.5" customHeight="1" x14ac:dyDescent="0.2">
      <c r="A12" s="2622" t="s">
        <v>1518</v>
      </c>
      <c r="B12" s="2623"/>
      <c r="C12" s="2623"/>
      <c r="D12" s="2623"/>
      <c r="E12" s="2623"/>
      <c r="F12" s="2624"/>
      <c r="G12" s="2619"/>
      <c r="H12" s="2620"/>
      <c r="I12" s="2620"/>
      <c r="J12" s="2620"/>
      <c r="K12" s="2620"/>
      <c r="L12" s="2621"/>
    </row>
    <row r="13" spans="1:29" ht="13.5" customHeight="1" x14ac:dyDescent="0.2">
      <c r="A13" s="2604"/>
      <c r="B13" s="2617"/>
      <c r="C13" s="2617"/>
      <c r="D13" s="2617"/>
      <c r="E13" s="2617"/>
      <c r="F13" s="2618"/>
      <c r="G13" s="2612" t="s">
        <v>1520</v>
      </c>
      <c r="H13" s="2613"/>
      <c r="I13" s="2625" t="str">
        <f>COVER!T25</f>
        <v>tcustis@gorenzcpa.com</v>
      </c>
      <c r="J13" s="2626"/>
      <c r="K13" s="2626"/>
      <c r="L13" s="2627"/>
    </row>
    <row r="14" spans="1:29" ht="13.5" customHeight="1" x14ac:dyDescent="0.2">
      <c r="A14" s="2604" t="str">
        <f>COVER!A19</f>
        <v>130 S. LaFayette, Suite 201</v>
      </c>
      <c r="B14" s="2617"/>
      <c r="C14" s="2617"/>
      <c r="D14" s="2617"/>
      <c r="E14" s="2617"/>
      <c r="F14" s="2618"/>
      <c r="G14" s="1192" t="s">
        <v>1185</v>
      </c>
      <c r="H14" s="1190"/>
      <c r="I14" s="1190"/>
      <c r="J14" s="1190"/>
      <c r="K14" s="1190"/>
      <c r="L14" s="1191"/>
    </row>
    <row r="15" spans="1:29" ht="13.5" customHeight="1" x14ac:dyDescent="0.2">
      <c r="A15" s="2604" t="str">
        <f>COVER!A21</f>
        <v>Macomb, IL</v>
      </c>
      <c r="B15" s="2617"/>
      <c r="C15" s="2617"/>
      <c r="D15" s="2617"/>
      <c r="E15" s="2617"/>
      <c r="F15" s="2618"/>
      <c r="G15" s="2614" t="str">
        <f>COVER!T15</f>
        <v>Tim C. Custis, CPA</v>
      </c>
      <c r="H15" s="2615"/>
      <c r="I15" s="2615"/>
      <c r="J15" s="2615"/>
      <c r="K15" s="2615"/>
      <c r="L15" s="2616"/>
    </row>
    <row r="16" spans="1:29" ht="12.2" customHeight="1" x14ac:dyDescent="0.2">
      <c r="A16" s="2594">
        <f>COVER!A25</f>
        <v>61455</v>
      </c>
      <c r="B16" s="2595"/>
      <c r="C16" s="2595"/>
      <c r="D16" s="2595"/>
      <c r="E16" s="2595"/>
      <c r="F16" s="2596"/>
      <c r="G16" s="2607"/>
      <c r="H16" s="2608"/>
      <c r="I16" s="2608"/>
      <c r="J16" s="2608"/>
      <c r="K16" s="2608"/>
      <c r="L16" s="2609"/>
    </row>
    <row r="17" spans="1:13" ht="12.2" customHeight="1" x14ac:dyDescent="0.2">
      <c r="A17" s="2610"/>
      <c r="B17" s="2595"/>
      <c r="C17" s="2595"/>
      <c r="D17" s="2595"/>
      <c r="E17" s="2595"/>
      <c r="F17" s="2596"/>
      <c r="G17" s="1192" t="s">
        <v>1184</v>
      </c>
      <c r="H17" s="1190"/>
      <c r="I17" s="1190"/>
      <c r="J17" s="1190"/>
      <c r="K17" s="1194" t="s">
        <v>1183</v>
      </c>
      <c r="L17" s="1187"/>
      <c r="M17" s="1180"/>
    </row>
    <row r="18" spans="1:13" ht="12.2" customHeight="1" x14ac:dyDescent="0.2">
      <c r="A18" s="2588"/>
      <c r="B18" s="2589"/>
      <c r="C18" s="2589"/>
      <c r="D18" s="2589"/>
      <c r="E18" s="2589"/>
      <c r="F18" s="2590"/>
      <c r="G18" s="2591" t="str">
        <f>COVER!T21</f>
        <v>309-685-7621</v>
      </c>
      <c r="H18" s="2592"/>
      <c r="I18" s="2592"/>
      <c r="J18" s="2592"/>
      <c r="K18" s="2591" t="str">
        <f>COVER!X21</f>
        <v>309-685-4758</v>
      </c>
      <c r="L18" s="259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2079</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2079</v>
      </c>
      <c r="C26" s="1199" t="s">
        <v>1699</v>
      </c>
    </row>
    <row r="27" spans="1:13" s="1195" customFormat="1" ht="9" customHeight="1" x14ac:dyDescent="0.2">
      <c r="B27" s="1200"/>
      <c r="C27" s="1199"/>
    </row>
    <row r="28" spans="1:13" s="1195" customFormat="1" ht="12.2" customHeight="1" x14ac:dyDescent="0.2">
      <c r="A28" s="1202"/>
      <c r="B28" s="1198" t="s">
        <v>2079</v>
      </c>
      <c r="C28" s="1199" t="s">
        <v>1700</v>
      </c>
    </row>
    <row r="29" spans="1:13" s="1195" customFormat="1" ht="9" customHeight="1" x14ac:dyDescent="0.2">
      <c r="A29" s="1202"/>
      <c r="B29" s="1200"/>
      <c r="C29" s="1199"/>
    </row>
    <row r="30" spans="1:13" s="1195" customFormat="1" ht="12.2" customHeight="1" x14ac:dyDescent="0.2">
      <c r="B30" s="1198" t="s">
        <v>2079</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2079</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2079</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2079</v>
      </c>
      <c r="C38" s="1199" t="s">
        <v>1566</v>
      </c>
    </row>
    <row r="39" spans="1:8" ht="9" customHeight="1" x14ac:dyDescent="0.2">
      <c r="B39" s="1200"/>
      <c r="C39" s="1203"/>
    </row>
    <row r="40" spans="1:8" s="1195" customFormat="1" ht="13.5" customHeight="1" x14ac:dyDescent="0.2">
      <c r="B40" s="1198" t="s">
        <v>2079</v>
      </c>
      <c r="C40" s="1199" t="s">
        <v>1567</v>
      </c>
    </row>
    <row r="41" spans="1:8" ht="9" customHeight="1" x14ac:dyDescent="0.2">
      <c r="A41" s="1204"/>
      <c r="B41" s="1200"/>
      <c r="C41" s="1203"/>
    </row>
    <row r="42" spans="1:8" s="1195" customFormat="1" ht="13.5" customHeight="1" x14ac:dyDescent="0.2">
      <c r="B42" s="1198" t="s">
        <v>2079</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2079</v>
      </c>
      <c r="C46" s="1206" t="s">
        <v>1568</v>
      </c>
      <c r="D46" s="1193"/>
      <c r="E46" s="1193"/>
      <c r="F46" s="1193"/>
      <c r="G46" s="1193"/>
      <c r="H46" s="1193"/>
    </row>
    <row r="47" spans="1:8" ht="9" customHeight="1" x14ac:dyDescent="0.2"/>
    <row r="48" spans="1:8" ht="12.2" customHeight="1" x14ac:dyDescent="0.2">
      <c r="B48" s="1931"/>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632" t="str">
        <f>'Single Audit Cover'!A7</f>
        <v>West Central IL Spec Educ Coop</v>
      </c>
      <c r="B1" s="2628"/>
      <c r="C1" s="2628"/>
      <c r="D1" s="2628"/>
    </row>
    <row r="2" spans="1:11" s="1209" customFormat="1" ht="12.75" x14ac:dyDescent="0.2">
      <c r="A2" s="2633">
        <f>'Single Audit Cover'!E7</f>
        <v>26062000061</v>
      </c>
      <c r="B2" s="2634"/>
      <c r="C2" s="2634"/>
      <c r="D2" s="2634"/>
    </row>
    <row r="3" spans="1:11" s="1209" customFormat="1" ht="12.75" x14ac:dyDescent="0.2">
      <c r="A3" s="2632" t="s">
        <v>1513</v>
      </c>
      <c r="B3" s="2628"/>
      <c r="C3" s="2628"/>
      <c r="D3" s="262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636" t="str">
        <f>'Single Audit Cover'!A7</f>
        <v>West Central IL Spec Educ Coop</v>
      </c>
      <c r="B1" s="2636"/>
      <c r="C1" s="2636"/>
      <c r="D1" s="2636"/>
      <c r="E1" s="2636"/>
    </row>
    <row r="2" spans="1:5" x14ac:dyDescent="0.2">
      <c r="A2" s="2637">
        <f>'Single Audit Cover'!E7</f>
        <v>26062000061</v>
      </c>
      <c r="B2" s="2637"/>
      <c r="C2" s="2637"/>
      <c r="D2" s="2637"/>
      <c r="E2" s="2637"/>
    </row>
    <row r="3" spans="1:5" ht="4.5" customHeight="1" x14ac:dyDescent="0.2"/>
    <row r="4" spans="1:5" x14ac:dyDescent="0.2">
      <c r="A4" s="2636" t="s">
        <v>1245</v>
      </c>
      <c r="B4" s="2636"/>
      <c r="C4" s="2636"/>
      <c r="D4" s="2636"/>
      <c r="E4" s="2636"/>
    </row>
    <row r="5" spans="1:5" x14ac:dyDescent="0.2">
      <c r="A5" s="2639" t="str">
        <f>'Single Audit Cover'!A4</f>
        <v>Year Ending June 30, 2019</v>
      </c>
      <c r="B5" s="2639"/>
      <c r="C5" s="2639"/>
      <c r="D5" s="2639"/>
      <c r="E5" s="2639"/>
    </row>
    <row r="6" spans="1:5" x14ac:dyDescent="0.2">
      <c r="A6" s="2636" t="s">
        <v>1244</v>
      </c>
      <c r="B6" s="2636"/>
      <c r="C6" s="2636"/>
      <c r="D6" s="2636"/>
      <c r="E6" s="2636"/>
    </row>
    <row r="8" spans="1:5" x14ac:dyDescent="0.2">
      <c r="A8" s="1254" t="s">
        <v>1243</v>
      </c>
    </row>
    <row r="10" spans="1:5" x14ac:dyDescent="0.2">
      <c r="A10" s="1255" t="s">
        <v>1242</v>
      </c>
      <c r="B10" s="1256" t="s">
        <v>1241</v>
      </c>
      <c r="C10" s="1256"/>
      <c r="D10" s="1257">
        <f>SUM('Acct Summary 7-8'!C7:K7)</f>
        <v>4273809</v>
      </c>
    </row>
    <row r="11" spans="1:5" ht="18" customHeight="1" x14ac:dyDescent="0.2">
      <c r="A11" s="1255" t="s">
        <v>1240</v>
      </c>
      <c r="B11" s="1256"/>
      <c r="C11" s="1256"/>
    </row>
    <row r="12" spans="1:5" x14ac:dyDescent="0.2">
      <c r="A12" s="1255" t="s">
        <v>1239</v>
      </c>
      <c r="B12" s="1256" t="s">
        <v>1238</v>
      </c>
      <c r="C12" s="1256"/>
      <c r="D12" s="1258">
        <f>SUM('Revenues 9-14'!C112:D112,'Revenues 9-14'!F112:G112)</f>
        <v>110209</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-239776</v>
      </c>
    </row>
    <row r="19" spans="1:4" ht="13.5" thickBot="1" x14ac:dyDescent="0.25">
      <c r="A19" s="1259" t="s">
        <v>1235</v>
      </c>
      <c r="D19" s="1260">
        <f>SUM(D10:D17)</f>
        <v>4144242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638" t="s">
        <v>2252</v>
      </c>
      <c r="B24" s="2638"/>
      <c r="D24" s="1262"/>
    </row>
    <row r="25" spans="1:4" x14ac:dyDescent="0.2">
      <c r="A25" s="2635"/>
      <c r="B25" s="2635"/>
      <c r="D25" s="1262"/>
    </row>
    <row r="26" spans="1:4" x14ac:dyDescent="0.2">
      <c r="A26" s="2635"/>
      <c r="B26" s="2635"/>
      <c r="D26" s="1262"/>
    </row>
    <row r="27" spans="1:4" x14ac:dyDescent="0.2">
      <c r="A27" s="2635"/>
      <c r="B27" s="2635"/>
      <c r="D27" s="1262"/>
    </row>
    <row r="28" spans="1:4" x14ac:dyDescent="0.2">
      <c r="A28" s="2635"/>
      <c r="B28" s="2635"/>
      <c r="D28" s="1262"/>
    </row>
    <row r="29" spans="1:4" x14ac:dyDescent="0.2">
      <c r="A29" s="2635"/>
      <c r="B29" s="2635"/>
      <c r="D29" s="1262"/>
    </row>
    <row r="30" spans="1:4" x14ac:dyDescent="0.2">
      <c r="A30" s="2635"/>
      <c r="B30" s="2635"/>
      <c r="D30" s="1262"/>
    </row>
    <row r="32" spans="1:4" x14ac:dyDescent="0.2">
      <c r="A32" s="1254" t="s">
        <v>1233</v>
      </c>
      <c r="D32" s="1257">
        <f>SUM(D19:D30)</f>
        <v>4144242</v>
      </c>
    </row>
    <row r="33" spans="1:4" x14ac:dyDescent="0.2">
      <c r="D33" s="1263"/>
    </row>
    <row r="34" spans="1:4" x14ac:dyDescent="0.2">
      <c r="A34" s="317" t="s">
        <v>1232</v>
      </c>
    </row>
    <row r="35" spans="1:4" x14ac:dyDescent="0.2">
      <c r="A35" s="317" t="s">
        <v>1231</v>
      </c>
      <c r="B35" s="1252" t="s">
        <v>1230</v>
      </c>
      <c r="D35" s="1264">
        <v>4144242</v>
      </c>
    </row>
    <row r="37" spans="1:4" x14ac:dyDescent="0.2">
      <c r="A37" s="1254" t="s">
        <v>1229</v>
      </c>
    </row>
    <row r="39" spans="1:4" ht="13.35" customHeight="1" x14ac:dyDescent="0.2">
      <c r="A39" s="1261" t="s">
        <v>1228</v>
      </c>
    </row>
    <row r="40" spans="1:4" x14ac:dyDescent="0.2">
      <c r="A40" s="2635"/>
      <c r="B40" s="2635"/>
      <c r="D40" s="1262"/>
    </row>
    <row r="41" spans="1:4" x14ac:dyDescent="0.2">
      <c r="A41" s="2635"/>
      <c r="B41" s="2635"/>
      <c r="D41" s="1265"/>
    </row>
    <row r="42" spans="1:4" x14ac:dyDescent="0.2">
      <c r="A42" s="2635"/>
      <c r="B42" s="2635"/>
      <c r="D42" s="1265"/>
    </row>
    <row r="43" spans="1:4" x14ac:dyDescent="0.2">
      <c r="A43" s="2635"/>
      <c r="B43" s="2635"/>
      <c r="D43" s="1265"/>
    </row>
    <row r="44" spans="1:4" x14ac:dyDescent="0.2">
      <c r="A44" s="2635"/>
      <c r="B44" s="2635"/>
      <c r="D44" s="1265"/>
    </row>
    <row r="45" spans="1:4" x14ac:dyDescent="0.2">
      <c r="A45" s="2635"/>
      <c r="B45" s="2635"/>
      <c r="D45" s="1265"/>
    </row>
    <row r="47" spans="1:4" x14ac:dyDescent="0.2">
      <c r="B47" s="1266" t="s">
        <v>1227</v>
      </c>
      <c r="C47" s="1266"/>
      <c r="D47" s="1267">
        <f>SUM(D35:D45)</f>
        <v>4144242</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97" t="str">
        <f>'Single Audit Cover'!A7</f>
        <v>West Central IL Spec Educ Coop</v>
      </c>
      <c r="C1" s="2640"/>
      <c r="D1" s="2640"/>
      <c r="E1" s="2640"/>
      <c r="F1" s="2640"/>
      <c r="G1" s="2640"/>
      <c r="H1" s="2640"/>
      <c r="I1" s="2640"/>
      <c r="J1" s="2640"/>
      <c r="K1" s="2640"/>
      <c r="L1" s="2640"/>
      <c r="M1" s="2640"/>
    </row>
    <row r="2" spans="2:14" ht="15" x14ac:dyDescent="0.2">
      <c r="B2" s="2641">
        <f>'Single Audit Cover'!E7</f>
        <v>26062000061</v>
      </c>
      <c r="C2" s="2641"/>
      <c r="D2" s="2641"/>
      <c r="E2" s="2641"/>
      <c r="F2" s="2641"/>
      <c r="G2" s="2641"/>
      <c r="H2" s="2641"/>
      <c r="I2" s="2641"/>
      <c r="J2" s="2641"/>
      <c r="K2" s="2641"/>
      <c r="L2" s="2641"/>
      <c r="M2" s="2641"/>
      <c r="N2" s="1296"/>
    </row>
    <row r="3" spans="2:14" ht="15" x14ac:dyDescent="0.2">
      <c r="B3" s="2642" t="s">
        <v>1219</v>
      </c>
      <c r="C3" s="2642"/>
      <c r="D3" s="2642"/>
      <c r="E3" s="2642"/>
      <c r="F3" s="2642"/>
      <c r="G3" s="2642"/>
      <c r="H3" s="2642"/>
      <c r="I3" s="2642"/>
      <c r="J3" s="2642"/>
      <c r="K3" s="2642"/>
      <c r="L3" s="2642"/>
      <c r="M3" s="2642"/>
      <c r="N3" s="1296"/>
    </row>
    <row r="4" spans="2:14" ht="15" x14ac:dyDescent="0.2">
      <c r="B4" s="2643" t="str">
        <f>'Single Audit Cover'!A4</f>
        <v>Year Ending June 30, 2019</v>
      </c>
      <c r="C4" s="2643"/>
      <c r="D4" s="2643"/>
      <c r="E4" s="2643"/>
      <c r="F4" s="2643"/>
      <c r="G4" s="2643"/>
      <c r="H4" s="2643"/>
      <c r="I4" s="2643"/>
      <c r="J4" s="2643"/>
      <c r="K4" s="2643"/>
      <c r="L4" s="2643"/>
      <c r="M4" s="2643"/>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Y98"/>
  <sheetViews>
    <sheetView showGridLines="0" showWhiteSpace="0" zoomScaleNormal="100" zoomScaleSheetLayoutView="50" workbookViewId="0">
      <pane ySplit="9" topLeftCell="A10" activePane="bottomLeft" state="frozen"/>
      <selection activeCell="N90" sqref="N90"/>
      <selection pane="bottomLeft" activeCell="A10" sqref="A10"/>
    </sheetView>
  </sheetViews>
  <sheetFormatPr defaultColWidth="14.7109375" defaultRowHeight="12.75" x14ac:dyDescent="0.2"/>
  <cols>
    <col min="1" max="1" width="5.7109375" style="2003" customWidth="1"/>
    <col min="2" max="2" width="37.140625" style="1978" customWidth="1"/>
    <col min="3" max="3" width="8.7109375" style="1978" customWidth="1"/>
    <col min="4" max="4" width="1.7109375" style="1978" customWidth="1"/>
    <col min="5" max="5" width="9.7109375" style="1978" customWidth="1"/>
    <col min="6" max="6" width="2.7109375" style="2110" customWidth="1"/>
    <col min="7" max="7" width="12" style="1978" customWidth="1"/>
    <col min="8" max="8" width="2.7109375" style="1978" customWidth="1"/>
    <col min="9" max="9" width="12.42578125" style="1978" customWidth="1"/>
    <col min="10" max="10" width="2.7109375" style="2110" customWidth="1"/>
    <col min="11" max="12" width="14.140625" style="1978" customWidth="1"/>
    <col min="13" max="14" width="13.28515625" style="1978" customWidth="1"/>
    <col min="15" max="15" width="3.5703125" style="1978" customWidth="1"/>
    <col min="16" max="16" width="11.7109375" style="1978" customWidth="1"/>
    <col min="17" max="17" width="4.5703125" style="2110" bestFit="1" customWidth="1"/>
    <col min="18" max="18" width="12.140625" style="1978" bestFit="1" customWidth="1"/>
    <col min="19" max="19" width="2.7109375" style="1978" customWidth="1"/>
    <col min="20" max="248" width="14.7109375" style="1978"/>
    <col min="249" max="249" width="5.7109375" style="1978" customWidth="1"/>
    <col min="250" max="250" width="37.140625" style="1978" customWidth="1"/>
    <col min="251" max="251" width="8.7109375" style="1978" customWidth="1"/>
    <col min="252" max="252" width="1.7109375" style="1978" customWidth="1"/>
    <col min="253" max="253" width="9.7109375" style="1978" customWidth="1"/>
    <col min="254" max="254" width="2.7109375" style="1978" customWidth="1"/>
    <col min="255" max="255" width="12" style="1978" customWidth="1"/>
    <col min="256" max="256" width="2.7109375" style="1978" customWidth="1"/>
    <col min="257" max="257" width="12.42578125" style="1978" customWidth="1"/>
    <col min="258" max="258" width="2.7109375" style="1978" customWidth="1"/>
    <col min="259" max="260" width="14.140625" style="1978" customWidth="1"/>
    <col min="261" max="262" width="13.28515625" style="1978" customWidth="1"/>
    <col min="263" max="263" width="3.5703125" style="1978" customWidth="1"/>
    <col min="264" max="264" width="11.7109375" style="1978" customWidth="1"/>
    <col min="265" max="265" width="4.5703125" style="1978" bestFit="1" customWidth="1"/>
    <col min="266" max="266" width="12.140625" style="1978" bestFit="1" customWidth="1"/>
    <col min="267" max="267" width="2.7109375" style="1978" customWidth="1"/>
    <col min="268" max="268" width="12.140625" style="1978" bestFit="1" customWidth="1"/>
    <col min="269" max="269" width="16" style="1978" customWidth="1"/>
    <col min="270" max="270" width="12.5703125" style="1978" customWidth="1"/>
    <col min="271" max="271" width="14.5703125" style="1978" bestFit="1" customWidth="1"/>
    <col min="272" max="272" width="17.42578125" style="1978" customWidth="1"/>
    <col min="273" max="273" width="18.85546875" style="1978" customWidth="1"/>
    <col min="274" max="274" width="3.140625" style="1978" customWidth="1"/>
    <col min="275" max="275" width="14.85546875" style="1978" bestFit="1" customWidth="1"/>
    <col min="276" max="504" width="14.7109375" style="1978"/>
    <col min="505" max="505" width="5.7109375" style="1978" customWidth="1"/>
    <col min="506" max="506" width="37.140625" style="1978" customWidth="1"/>
    <col min="507" max="507" width="8.7109375" style="1978" customWidth="1"/>
    <col min="508" max="508" width="1.7109375" style="1978" customWidth="1"/>
    <col min="509" max="509" width="9.7109375" style="1978" customWidth="1"/>
    <col min="510" max="510" width="2.7109375" style="1978" customWidth="1"/>
    <col min="511" max="511" width="12" style="1978" customWidth="1"/>
    <col min="512" max="512" width="2.7109375" style="1978" customWidth="1"/>
    <col min="513" max="513" width="12.42578125" style="1978" customWidth="1"/>
    <col min="514" max="514" width="2.7109375" style="1978" customWidth="1"/>
    <col min="515" max="516" width="14.140625" style="1978" customWidth="1"/>
    <col min="517" max="518" width="13.28515625" style="1978" customWidth="1"/>
    <col min="519" max="519" width="3.5703125" style="1978" customWidth="1"/>
    <col min="520" max="520" width="11.7109375" style="1978" customWidth="1"/>
    <col min="521" max="521" width="4.5703125" style="1978" bestFit="1" customWidth="1"/>
    <col min="522" max="522" width="12.140625" style="1978" bestFit="1" customWidth="1"/>
    <col min="523" max="523" width="2.7109375" style="1978" customWidth="1"/>
    <col min="524" max="524" width="12.140625" style="1978" bestFit="1" customWidth="1"/>
    <col min="525" max="525" width="16" style="1978" customWidth="1"/>
    <col min="526" max="526" width="12.5703125" style="1978" customWidth="1"/>
    <col min="527" max="527" width="14.5703125" style="1978" bestFit="1" customWidth="1"/>
    <col min="528" max="528" width="17.42578125" style="1978" customWidth="1"/>
    <col min="529" max="529" width="18.85546875" style="1978" customWidth="1"/>
    <col min="530" max="530" width="3.140625" style="1978" customWidth="1"/>
    <col min="531" max="531" width="14.85546875" style="1978" bestFit="1" customWidth="1"/>
    <col min="532" max="760" width="14.7109375" style="1978"/>
    <col min="761" max="761" width="5.7109375" style="1978" customWidth="1"/>
    <col min="762" max="762" width="37.140625" style="1978" customWidth="1"/>
    <col min="763" max="763" width="8.7109375" style="1978" customWidth="1"/>
    <col min="764" max="764" width="1.7109375" style="1978" customWidth="1"/>
    <col min="765" max="765" width="9.7109375" style="1978" customWidth="1"/>
    <col min="766" max="766" width="2.7109375" style="1978" customWidth="1"/>
    <col min="767" max="767" width="12" style="1978" customWidth="1"/>
    <col min="768" max="768" width="2.7109375" style="1978" customWidth="1"/>
    <col min="769" max="769" width="12.42578125" style="1978" customWidth="1"/>
    <col min="770" max="770" width="2.7109375" style="1978" customWidth="1"/>
    <col min="771" max="772" width="14.140625" style="1978" customWidth="1"/>
    <col min="773" max="774" width="13.28515625" style="1978" customWidth="1"/>
    <col min="775" max="775" width="3.5703125" style="1978" customWidth="1"/>
    <col min="776" max="776" width="11.7109375" style="1978" customWidth="1"/>
    <col min="777" max="777" width="4.5703125" style="1978" bestFit="1" customWidth="1"/>
    <col min="778" max="778" width="12.140625" style="1978" bestFit="1" customWidth="1"/>
    <col min="779" max="779" width="2.7109375" style="1978" customWidth="1"/>
    <col min="780" max="780" width="12.140625" style="1978" bestFit="1" customWidth="1"/>
    <col min="781" max="781" width="16" style="1978" customWidth="1"/>
    <col min="782" max="782" width="12.5703125" style="1978" customWidth="1"/>
    <col min="783" max="783" width="14.5703125" style="1978" bestFit="1" customWidth="1"/>
    <col min="784" max="784" width="17.42578125" style="1978" customWidth="1"/>
    <col min="785" max="785" width="18.85546875" style="1978" customWidth="1"/>
    <col min="786" max="786" width="3.140625" style="1978" customWidth="1"/>
    <col min="787" max="787" width="14.85546875" style="1978" bestFit="1" customWidth="1"/>
    <col min="788" max="1016" width="14.7109375" style="1978"/>
    <col min="1017" max="1017" width="5.7109375" style="1978" customWidth="1"/>
    <col min="1018" max="1018" width="37.140625" style="1978" customWidth="1"/>
    <col min="1019" max="1019" width="8.7109375" style="1978" customWidth="1"/>
    <col min="1020" max="1020" width="1.7109375" style="1978" customWidth="1"/>
    <col min="1021" max="1021" width="9.7109375" style="1978" customWidth="1"/>
    <col min="1022" max="1022" width="2.7109375" style="1978" customWidth="1"/>
    <col min="1023" max="1023" width="12" style="1978" customWidth="1"/>
    <col min="1024" max="1024" width="2.7109375" style="1978" customWidth="1"/>
    <col min="1025" max="1025" width="12.42578125" style="1978" customWidth="1"/>
    <col min="1026" max="1026" width="2.7109375" style="1978" customWidth="1"/>
    <col min="1027" max="1028" width="14.140625" style="1978" customWidth="1"/>
    <col min="1029" max="1030" width="13.28515625" style="1978" customWidth="1"/>
    <col min="1031" max="1031" width="3.5703125" style="1978" customWidth="1"/>
    <col min="1032" max="1032" width="11.7109375" style="1978" customWidth="1"/>
    <col min="1033" max="1033" width="4.5703125" style="1978" bestFit="1" customWidth="1"/>
    <col min="1034" max="1034" width="12.140625" style="1978" bestFit="1" customWidth="1"/>
    <col min="1035" max="1035" width="2.7109375" style="1978" customWidth="1"/>
    <col min="1036" max="1036" width="12.140625" style="1978" bestFit="1" customWidth="1"/>
    <col min="1037" max="1037" width="16" style="1978" customWidth="1"/>
    <col min="1038" max="1038" width="12.5703125" style="1978" customWidth="1"/>
    <col min="1039" max="1039" width="14.5703125" style="1978" bestFit="1" customWidth="1"/>
    <col min="1040" max="1040" width="17.42578125" style="1978" customWidth="1"/>
    <col min="1041" max="1041" width="18.85546875" style="1978" customWidth="1"/>
    <col min="1042" max="1042" width="3.140625" style="1978" customWidth="1"/>
    <col min="1043" max="1043" width="14.85546875" style="1978" bestFit="1" customWidth="1"/>
    <col min="1044" max="1272" width="14.7109375" style="1978"/>
    <col min="1273" max="1273" width="5.7109375" style="1978" customWidth="1"/>
    <col min="1274" max="1274" width="37.140625" style="1978" customWidth="1"/>
    <col min="1275" max="1275" width="8.7109375" style="1978" customWidth="1"/>
    <col min="1276" max="1276" width="1.7109375" style="1978" customWidth="1"/>
    <col min="1277" max="1277" width="9.7109375" style="1978" customWidth="1"/>
    <col min="1278" max="1278" width="2.7109375" style="1978" customWidth="1"/>
    <col min="1279" max="1279" width="12" style="1978" customWidth="1"/>
    <col min="1280" max="1280" width="2.7109375" style="1978" customWidth="1"/>
    <col min="1281" max="1281" width="12.42578125" style="1978" customWidth="1"/>
    <col min="1282" max="1282" width="2.7109375" style="1978" customWidth="1"/>
    <col min="1283" max="1284" width="14.140625" style="1978" customWidth="1"/>
    <col min="1285" max="1286" width="13.28515625" style="1978" customWidth="1"/>
    <col min="1287" max="1287" width="3.5703125" style="1978" customWidth="1"/>
    <col min="1288" max="1288" width="11.7109375" style="1978" customWidth="1"/>
    <col min="1289" max="1289" width="4.5703125" style="1978" bestFit="1" customWidth="1"/>
    <col min="1290" max="1290" width="12.140625" style="1978" bestFit="1" customWidth="1"/>
    <col min="1291" max="1291" width="2.7109375" style="1978" customWidth="1"/>
    <col min="1292" max="1292" width="12.140625" style="1978" bestFit="1" customWidth="1"/>
    <col min="1293" max="1293" width="16" style="1978" customWidth="1"/>
    <col min="1294" max="1294" width="12.5703125" style="1978" customWidth="1"/>
    <col min="1295" max="1295" width="14.5703125" style="1978" bestFit="1" customWidth="1"/>
    <col min="1296" max="1296" width="17.42578125" style="1978" customWidth="1"/>
    <col min="1297" max="1297" width="18.85546875" style="1978" customWidth="1"/>
    <col min="1298" max="1298" width="3.140625" style="1978" customWidth="1"/>
    <col min="1299" max="1299" width="14.85546875" style="1978" bestFit="1" customWidth="1"/>
    <col min="1300" max="1528" width="14.7109375" style="1978"/>
    <col min="1529" max="1529" width="5.7109375" style="1978" customWidth="1"/>
    <col min="1530" max="1530" width="37.140625" style="1978" customWidth="1"/>
    <col min="1531" max="1531" width="8.7109375" style="1978" customWidth="1"/>
    <col min="1532" max="1532" width="1.7109375" style="1978" customWidth="1"/>
    <col min="1533" max="1533" width="9.7109375" style="1978" customWidth="1"/>
    <col min="1534" max="1534" width="2.7109375" style="1978" customWidth="1"/>
    <col min="1535" max="1535" width="12" style="1978" customWidth="1"/>
    <col min="1536" max="1536" width="2.7109375" style="1978" customWidth="1"/>
    <col min="1537" max="1537" width="12.42578125" style="1978" customWidth="1"/>
    <col min="1538" max="1538" width="2.7109375" style="1978" customWidth="1"/>
    <col min="1539" max="1540" width="14.140625" style="1978" customWidth="1"/>
    <col min="1541" max="1542" width="13.28515625" style="1978" customWidth="1"/>
    <col min="1543" max="1543" width="3.5703125" style="1978" customWidth="1"/>
    <col min="1544" max="1544" width="11.7109375" style="1978" customWidth="1"/>
    <col min="1545" max="1545" width="4.5703125" style="1978" bestFit="1" customWidth="1"/>
    <col min="1546" max="1546" width="12.140625" style="1978" bestFit="1" customWidth="1"/>
    <col min="1547" max="1547" width="2.7109375" style="1978" customWidth="1"/>
    <col min="1548" max="1548" width="12.140625" style="1978" bestFit="1" customWidth="1"/>
    <col min="1549" max="1549" width="16" style="1978" customWidth="1"/>
    <col min="1550" max="1550" width="12.5703125" style="1978" customWidth="1"/>
    <col min="1551" max="1551" width="14.5703125" style="1978" bestFit="1" customWidth="1"/>
    <col min="1552" max="1552" width="17.42578125" style="1978" customWidth="1"/>
    <col min="1553" max="1553" width="18.85546875" style="1978" customWidth="1"/>
    <col min="1554" max="1554" width="3.140625" style="1978" customWidth="1"/>
    <col min="1555" max="1555" width="14.85546875" style="1978" bestFit="1" customWidth="1"/>
    <col min="1556" max="1784" width="14.7109375" style="1978"/>
    <col min="1785" max="1785" width="5.7109375" style="1978" customWidth="1"/>
    <col min="1786" max="1786" width="37.140625" style="1978" customWidth="1"/>
    <col min="1787" max="1787" width="8.7109375" style="1978" customWidth="1"/>
    <col min="1788" max="1788" width="1.7109375" style="1978" customWidth="1"/>
    <col min="1789" max="1789" width="9.7109375" style="1978" customWidth="1"/>
    <col min="1790" max="1790" width="2.7109375" style="1978" customWidth="1"/>
    <col min="1791" max="1791" width="12" style="1978" customWidth="1"/>
    <col min="1792" max="1792" width="2.7109375" style="1978" customWidth="1"/>
    <col min="1793" max="1793" width="12.42578125" style="1978" customWidth="1"/>
    <col min="1794" max="1794" width="2.7109375" style="1978" customWidth="1"/>
    <col min="1795" max="1796" width="14.140625" style="1978" customWidth="1"/>
    <col min="1797" max="1798" width="13.28515625" style="1978" customWidth="1"/>
    <col min="1799" max="1799" width="3.5703125" style="1978" customWidth="1"/>
    <col min="1800" max="1800" width="11.7109375" style="1978" customWidth="1"/>
    <col min="1801" max="1801" width="4.5703125" style="1978" bestFit="1" customWidth="1"/>
    <col min="1802" max="1802" width="12.140625" style="1978" bestFit="1" customWidth="1"/>
    <col min="1803" max="1803" width="2.7109375" style="1978" customWidth="1"/>
    <col min="1804" max="1804" width="12.140625" style="1978" bestFit="1" customWidth="1"/>
    <col min="1805" max="1805" width="16" style="1978" customWidth="1"/>
    <col min="1806" max="1806" width="12.5703125" style="1978" customWidth="1"/>
    <col min="1807" max="1807" width="14.5703125" style="1978" bestFit="1" customWidth="1"/>
    <col min="1808" max="1808" width="17.42578125" style="1978" customWidth="1"/>
    <col min="1809" max="1809" width="18.85546875" style="1978" customWidth="1"/>
    <col min="1810" max="1810" width="3.140625" style="1978" customWidth="1"/>
    <col min="1811" max="1811" width="14.85546875" style="1978" bestFit="1" customWidth="1"/>
    <col min="1812" max="2040" width="14.7109375" style="1978"/>
    <col min="2041" max="2041" width="5.7109375" style="1978" customWidth="1"/>
    <col min="2042" max="2042" width="37.140625" style="1978" customWidth="1"/>
    <col min="2043" max="2043" width="8.7109375" style="1978" customWidth="1"/>
    <col min="2044" max="2044" width="1.7109375" style="1978" customWidth="1"/>
    <col min="2045" max="2045" width="9.7109375" style="1978" customWidth="1"/>
    <col min="2046" max="2046" width="2.7109375" style="1978" customWidth="1"/>
    <col min="2047" max="2047" width="12" style="1978" customWidth="1"/>
    <col min="2048" max="2048" width="2.7109375" style="1978" customWidth="1"/>
    <col min="2049" max="2049" width="12.42578125" style="1978" customWidth="1"/>
    <col min="2050" max="2050" width="2.7109375" style="1978" customWidth="1"/>
    <col min="2051" max="2052" width="14.140625" style="1978" customWidth="1"/>
    <col min="2053" max="2054" width="13.28515625" style="1978" customWidth="1"/>
    <col min="2055" max="2055" width="3.5703125" style="1978" customWidth="1"/>
    <col min="2056" max="2056" width="11.7109375" style="1978" customWidth="1"/>
    <col min="2057" max="2057" width="4.5703125" style="1978" bestFit="1" customWidth="1"/>
    <col min="2058" max="2058" width="12.140625" style="1978" bestFit="1" customWidth="1"/>
    <col min="2059" max="2059" width="2.7109375" style="1978" customWidth="1"/>
    <col min="2060" max="2060" width="12.140625" style="1978" bestFit="1" customWidth="1"/>
    <col min="2061" max="2061" width="16" style="1978" customWidth="1"/>
    <col min="2062" max="2062" width="12.5703125" style="1978" customWidth="1"/>
    <col min="2063" max="2063" width="14.5703125" style="1978" bestFit="1" customWidth="1"/>
    <col min="2064" max="2064" width="17.42578125" style="1978" customWidth="1"/>
    <col min="2065" max="2065" width="18.85546875" style="1978" customWidth="1"/>
    <col min="2066" max="2066" width="3.140625" style="1978" customWidth="1"/>
    <col min="2067" max="2067" width="14.85546875" style="1978" bestFit="1" customWidth="1"/>
    <col min="2068" max="2296" width="14.7109375" style="1978"/>
    <col min="2297" max="2297" width="5.7109375" style="1978" customWidth="1"/>
    <col min="2298" max="2298" width="37.140625" style="1978" customWidth="1"/>
    <col min="2299" max="2299" width="8.7109375" style="1978" customWidth="1"/>
    <col min="2300" max="2300" width="1.7109375" style="1978" customWidth="1"/>
    <col min="2301" max="2301" width="9.7109375" style="1978" customWidth="1"/>
    <col min="2302" max="2302" width="2.7109375" style="1978" customWidth="1"/>
    <col min="2303" max="2303" width="12" style="1978" customWidth="1"/>
    <col min="2304" max="2304" width="2.7109375" style="1978" customWidth="1"/>
    <col min="2305" max="2305" width="12.42578125" style="1978" customWidth="1"/>
    <col min="2306" max="2306" width="2.7109375" style="1978" customWidth="1"/>
    <col min="2307" max="2308" width="14.140625" style="1978" customWidth="1"/>
    <col min="2309" max="2310" width="13.28515625" style="1978" customWidth="1"/>
    <col min="2311" max="2311" width="3.5703125" style="1978" customWidth="1"/>
    <col min="2312" max="2312" width="11.7109375" style="1978" customWidth="1"/>
    <col min="2313" max="2313" width="4.5703125" style="1978" bestFit="1" customWidth="1"/>
    <col min="2314" max="2314" width="12.140625" style="1978" bestFit="1" customWidth="1"/>
    <col min="2315" max="2315" width="2.7109375" style="1978" customWidth="1"/>
    <col min="2316" max="2316" width="12.140625" style="1978" bestFit="1" customWidth="1"/>
    <col min="2317" max="2317" width="16" style="1978" customWidth="1"/>
    <col min="2318" max="2318" width="12.5703125" style="1978" customWidth="1"/>
    <col min="2319" max="2319" width="14.5703125" style="1978" bestFit="1" customWidth="1"/>
    <col min="2320" max="2320" width="17.42578125" style="1978" customWidth="1"/>
    <col min="2321" max="2321" width="18.85546875" style="1978" customWidth="1"/>
    <col min="2322" max="2322" width="3.140625" style="1978" customWidth="1"/>
    <col min="2323" max="2323" width="14.85546875" style="1978" bestFit="1" customWidth="1"/>
    <col min="2324" max="2552" width="14.7109375" style="1978"/>
    <col min="2553" max="2553" width="5.7109375" style="1978" customWidth="1"/>
    <col min="2554" max="2554" width="37.140625" style="1978" customWidth="1"/>
    <col min="2555" max="2555" width="8.7109375" style="1978" customWidth="1"/>
    <col min="2556" max="2556" width="1.7109375" style="1978" customWidth="1"/>
    <col min="2557" max="2557" width="9.7109375" style="1978" customWidth="1"/>
    <col min="2558" max="2558" width="2.7109375" style="1978" customWidth="1"/>
    <col min="2559" max="2559" width="12" style="1978" customWidth="1"/>
    <col min="2560" max="2560" width="2.7109375" style="1978" customWidth="1"/>
    <col min="2561" max="2561" width="12.42578125" style="1978" customWidth="1"/>
    <col min="2562" max="2562" width="2.7109375" style="1978" customWidth="1"/>
    <col min="2563" max="2564" width="14.140625" style="1978" customWidth="1"/>
    <col min="2565" max="2566" width="13.28515625" style="1978" customWidth="1"/>
    <col min="2567" max="2567" width="3.5703125" style="1978" customWidth="1"/>
    <col min="2568" max="2568" width="11.7109375" style="1978" customWidth="1"/>
    <col min="2569" max="2569" width="4.5703125" style="1978" bestFit="1" customWidth="1"/>
    <col min="2570" max="2570" width="12.140625" style="1978" bestFit="1" customWidth="1"/>
    <col min="2571" max="2571" width="2.7109375" style="1978" customWidth="1"/>
    <col min="2572" max="2572" width="12.140625" style="1978" bestFit="1" customWidth="1"/>
    <col min="2573" max="2573" width="16" style="1978" customWidth="1"/>
    <col min="2574" max="2574" width="12.5703125" style="1978" customWidth="1"/>
    <col min="2575" max="2575" width="14.5703125" style="1978" bestFit="1" customWidth="1"/>
    <col min="2576" max="2576" width="17.42578125" style="1978" customWidth="1"/>
    <col min="2577" max="2577" width="18.85546875" style="1978" customWidth="1"/>
    <col min="2578" max="2578" width="3.140625" style="1978" customWidth="1"/>
    <col min="2579" max="2579" width="14.85546875" style="1978" bestFit="1" customWidth="1"/>
    <col min="2580" max="2808" width="14.7109375" style="1978"/>
    <col min="2809" max="2809" width="5.7109375" style="1978" customWidth="1"/>
    <col min="2810" max="2810" width="37.140625" style="1978" customWidth="1"/>
    <col min="2811" max="2811" width="8.7109375" style="1978" customWidth="1"/>
    <col min="2812" max="2812" width="1.7109375" style="1978" customWidth="1"/>
    <col min="2813" max="2813" width="9.7109375" style="1978" customWidth="1"/>
    <col min="2814" max="2814" width="2.7109375" style="1978" customWidth="1"/>
    <col min="2815" max="2815" width="12" style="1978" customWidth="1"/>
    <col min="2816" max="2816" width="2.7109375" style="1978" customWidth="1"/>
    <col min="2817" max="2817" width="12.42578125" style="1978" customWidth="1"/>
    <col min="2818" max="2818" width="2.7109375" style="1978" customWidth="1"/>
    <col min="2819" max="2820" width="14.140625" style="1978" customWidth="1"/>
    <col min="2821" max="2822" width="13.28515625" style="1978" customWidth="1"/>
    <col min="2823" max="2823" width="3.5703125" style="1978" customWidth="1"/>
    <col min="2824" max="2824" width="11.7109375" style="1978" customWidth="1"/>
    <col min="2825" max="2825" width="4.5703125" style="1978" bestFit="1" customWidth="1"/>
    <col min="2826" max="2826" width="12.140625" style="1978" bestFit="1" customWidth="1"/>
    <col min="2827" max="2827" width="2.7109375" style="1978" customWidth="1"/>
    <col min="2828" max="2828" width="12.140625" style="1978" bestFit="1" customWidth="1"/>
    <col min="2829" max="2829" width="16" style="1978" customWidth="1"/>
    <col min="2830" max="2830" width="12.5703125" style="1978" customWidth="1"/>
    <col min="2831" max="2831" width="14.5703125" style="1978" bestFit="1" customWidth="1"/>
    <col min="2832" max="2832" width="17.42578125" style="1978" customWidth="1"/>
    <col min="2833" max="2833" width="18.85546875" style="1978" customWidth="1"/>
    <col min="2834" max="2834" width="3.140625" style="1978" customWidth="1"/>
    <col min="2835" max="2835" width="14.85546875" style="1978" bestFit="1" customWidth="1"/>
    <col min="2836" max="3064" width="14.7109375" style="1978"/>
    <col min="3065" max="3065" width="5.7109375" style="1978" customWidth="1"/>
    <col min="3066" max="3066" width="37.140625" style="1978" customWidth="1"/>
    <col min="3067" max="3067" width="8.7109375" style="1978" customWidth="1"/>
    <col min="3068" max="3068" width="1.7109375" style="1978" customWidth="1"/>
    <col min="3069" max="3069" width="9.7109375" style="1978" customWidth="1"/>
    <col min="3070" max="3070" width="2.7109375" style="1978" customWidth="1"/>
    <col min="3071" max="3071" width="12" style="1978" customWidth="1"/>
    <col min="3072" max="3072" width="2.7109375" style="1978" customWidth="1"/>
    <col min="3073" max="3073" width="12.42578125" style="1978" customWidth="1"/>
    <col min="3074" max="3074" width="2.7109375" style="1978" customWidth="1"/>
    <col min="3075" max="3076" width="14.140625" style="1978" customWidth="1"/>
    <col min="3077" max="3078" width="13.28515625" style="1978" customWidth="1"/>
    <col min="3079" max="3079" width="3.5703125" style="1978" customWidth="1"/>
    <col min="3080" max="3080" width="11.7109375" style="1978" customWidth="1"/>
    <col min="3081" max="3081" width="4.5703125" style="1978" bestFit="1" customWidth="1"/>
    <col min="3082" max="3082" width="12.140625" style="1978" bestFit="1" customWidth="1"/>
    <col min="3083" max="3083" width="2.7109375" style="1978" customWidth="1"/>
    <col min="3084" max="3084" width="12.140625" style="1978" bestFit="1" customWidth="1"/>
    <col min="3085" max="3085" width="16" style="1978" customWidth="1"/>
    <col min="3086" max="3086" width="12.5703125" style="1978" customWidth="1"/>
    <col min="3087" max="3087" width="14.5703125" style="1978" bestFit="1" customWidth="1"/>
    <col min="3088" max="3088" width="17.42578125" style="1978" customWidth="1"/>
    <col min="3089" max="3089" width="18.85546875" style="1978" customWidth="1"/>
    <col min="3090" max="3090" width="3.140625" style="1978" customWidth="1"/>
    <col min="3091" max="3091" width="14.85546875" style="1978" bestFit="1" customWidth="1"/>
    <col min="3092" max="3320" width="14.7109375" style="1978"/>
    <col min="3321" max="3321" width="5.7109375" style="1978" customWidth="1"/>
    <col min="3322" max="3322" width="37.140625" style="1978" customWidth="1"/>
    <col min="3323" max="3323" width="8.7109375" style="1978" customWidth="1"/>
    <col min="3324" max="3324" width="1.7109375" style="1978" customWidth="1"/>
    <col min="3325" max="3325" width="9.7109375" style="1978" customWidth="1"/>
    <col min="3326" max="3326" width="2.7109375" style="1978" customWidth="1"/>
    <col min="3327" max="3327" width="12" style="1978" customWidth="1"/>
    <col min="3328" max="3328" width="2.7109375" style="1978" customWidth="1"/>
    <col min="3329" max="3329" width="12.42578125" style="1978" customWidth="1"/>
    <col min="3330" max="3330" width="2.7109375" style="1978" customWidth="1"/>
    <col min="3331" max="3332" width="14.140625" style="1978" customWidth="1"/>
    <col min="3333" max="3334" width="13.28515625" style="1978" customWidth="1"/>
    <col min="3335" max="3335" width="3.5703125" style="1978" customWidth="1"/>
    <col min="3336" max="3336" width="11.7109375" style="1978" customWidth="1"/>
    <col min="3337" max="3337" width="4.5703125" style="1978" bestFit="1" customWidth="1"/>
    <col min="3338" max="3338" width="12.140625" style="1978" bestFit="1" customWidth="1"/>
    <col min="3339" max="3339" width="2.7109375" style="1978" customWidth="1"/>
    <col min="3340" max="3340" width="12.140625" style="1978" bestFit="1" customWidth="1"/>
    <col min="3341" max="3341" width="16" style="1978" customWidth="1"/>
    <col min="3342" max="3342" width="12.5703125" style="1978" customWidth="1"/>
    <col min="3343" max="3343" width="14.5703125" style="1978" bestFit="1" customWidth="1"/>
    <col min="3344" max="3344" width="17.42578125" style="1978" customWidth="1"/>
    <col min="3345" max="3345" width="18.85546875" style="1978" customWidth="1"/>
    <col min="3346" max="3346" width="3.140625" style="1978" customWidth="1"/>
    <col min="3347" max="3347" width="14.85546875" style="1978" bestFit="1" customWidth="1"/>
    <col min="3348" max="3576" width="14.7109375" style="1978"/>
    <col min="3577" max="3577" width="5.7109375" style="1978" customWidth="1"/>
    <col min="3578" max="3578" width="37.140625" style="1978" customWidth="1"/>
    <col min="3579" max="3579" width="8.7109375" style="1978" customWidth="1"/>
    <col min="3580" max="3580" width="1.7109375" style="1978" customWidth="1"/>
    <col min="3581" max="3581" width="9.7109375" style="1978" customWidth="1"/>
    <col min="3582" max="3582" width="2.7109375" style="1978" customWidth="1"/>
    <col min="3583" max="3583" width="12" style="1978" customWidth="1"/>
    <col min="3584" max="3584" width="2.7109375" style="1978" customWidth="1"/>
    <col min="3585" max="3585" width="12.42578125" style="1978" customWidth="1"/>
    <col min="3586" max="3586" width="2.7109375" style="1978" customWidth="1"/>
    <col min="3587" max="3588" width="14.140625" style="1978" customWidth="1"/>
    <col min="3589" max="3590" width="13.28515625" style="1978" customWidth="1"/>
    <col min="3591" max="3591" width="3.5703125" style="1978" customWidth="1"/>
    <col min="3592" max="3592" width="11.7109375" style="1978" customWidth="1"/>
    <col min="3593" max="3593" width="4.5703125" style="1978" bestFit="1" customWidth="1"/>
    <col min="3594" max="3594" width="12.140625" style="1978" bestFit="1" customWidth="1"/>
    <col min="3595" max="3595" width="2.7109375" style="1978" customWidth="1"/>
    <col min="3596" max="3596" width="12.140625" style="1978" bestFit="1" customWidth="1"/>
    <col min="3597" max="3597" width="16" style="1978" customWidth="1"/>
    <col min="3598" max="3598" width="12.5703125" style="1978" customWidth="1"/>
    <col min="3599" max="3599" width="14.5703125" style="1978" bestFit="1" customWidth="1"/>
    <col min="3600" max="3600" width="17.42578125" style="1978" customWidth="1"/>
    <col min="3601" max="3601" width="18.85546875" style="1978" customWidth="1"/>
    <col min="3602" max="3602" width="3.140625" style="1978" customWidth="1"/>
    <col min="3603" max="3603" width="14.85546875" style="1978" bestFit="1" customWidth="1"/>
    <col min="3604" max="3832" width="14.7109375" style="1978"/>
    <col min="3833" max="3833" width="5.7109375" style="1978" customWidth="1"/>
    <col min="3834" max="3834" width="37.140625" style="1978" customWidth="1"/>
    <col min="3835" max="3835" width="8.7109375" style="1978" customWidth="1"/>
    <col min="3836" max="3836" width="1.7109375" style="1978" customWidth="1"/>
    <col min="3837" max="3837" width="9.7109375" style="1978" customWidth="1"/>
    <col min="3838" max="3838" width="2.7109375" style="1978" customWidth="1"/>
    <col min="3839" max="3839" width="12" style="1978" customWidth="1"/>
    <col min="3840" max="3840" width="2.7109375" style="1978" customWidth="1"/>
    <col min="3841" max="3841" width="12.42578125" style="1978" customWidth="1"/>
    <col min="3842" max="3842" width="2.7109375" style="1978" customWidth="1"/>
    <col min="3843" max="3844" width="14.140625" style="1978" customWidth="1"/>
    <col min="3845" max="3846" width="13.28515625" style="1978" customWidth="1"/>
    <col min="3847" max="3847" width="3.5703125" style="1978" customWidth="1"/>
    <col min="3848" max="3848" width="11.7109375" style="1978" customWidth="1"/>
    <col min="3849" max="3849" width="4.5703125" style="1978" bestFit="1" customWidth="1"/>
    <col min="3850" max="3850" width="12.140625" style="1978" bestFit="1" customWidth="1"/>
    <col min="3851" max="3851" width="2.7109375" style="1978" customWidth="1"/>
    <col min="3852" max="3852" width="12.140625" style="1978" bestFit="1" customWidth="1"/>
    <col min="3853" max="3853" width="16" style="1978" customWidth="1"/>
    <col min="3854" max="3854" width="12.5703125" style="1978" customWidth="1"/>
    <col min="3855" max="3855" width="14.5703125" style="1978" bestFit="1" customWidth="1"/>
    <col min="3856" max="3856" width="17.42578125" style="1978" customWidth="1"/>
    <col min="3857" max="3857" width="18.85546875" style="1978" customWidth="1"/>
    <col min="3858" max="3858" width="3.140625" style="1978" customWidth="1"/>
    <col min="3859" max="3859" width="14.85546875" style="1978" bestFit="1" customWidth="1"/>
    <col min="3860" max="4088" width="14.7109375" style="1978"/>
    <col min="4089" max="4089" width="5.7109375" style="1978" customWidth="1"/>
    <col min="4090" max="4090" width="37.140625" style="1978" customWidth="1"/>
    <col min="4091" max="4091" width="8.7109375" style="1978" customWidth="1"/>
    <col min="4092" max="4092" width="1.7109375" style="1978" customWidth="1"/>
    <col min="4093" max="4093" width="9.7109375" style="1978" customWidth="1"/>
    <col min="4094" max="4094" width="2.7109375" style="1978" customWidth="1"/>
    <col min="4095" max="4095" width="12" style="1978" customWidth="1"/>
    <col min="4096" max="4096" width="2.7109375" style="1978" customWidth="1"/>
    <col min="4097" max="4097" width="12.42578125" style="1978" customWidth="1"/>
    <col min="4098" max="4098" width="2.7109375" style="1978" customWidth="1"/>
    <col min="4099" max="4100" width="14.140625" style="1978" customWidth="1"/>
    <col min="4101" max="4102" width="13.28515625" style="1978" customWidth="1"/>
    <col min="4103" max="4103" width="3.5703125" style="1978" customWidth="1"/>
    <col min="4104" max="4104" width="11.7109375" style="1978" customWidth="1"/>
    <col min="4105" max="4105" width="4.5703125" style="1978" bestFit="1" customWidth="1"/>
    <col min="4106" max="4106" width="12.140625" style="1978" bestFit="1" customWidth="1"/>
    <col min="4107" max="4107" width="2.7109375" style="1978" customWidth="1"/>
    <col min="4108" max="4108" width="12.140625" style="1978" bestFit="1" customWidth="1"/>
    <col min="4109" max="4109" width="16" style="1978" customWidth="1"/>
    <col min="4110" max="4110" width="12.5703125" style="1978" customWidth="1"/>
    <col min="4111" max="4111" width="14.5703125" style="1978" bestFit="1" customWidth="1"/>
    <col min="4112" max="4112" width="17.42578125" style="1978" customWidth="1"/>
    <col min="4113" max="4113" width="18.85546875" style="1978" customWidth="1"/>
    <col min="4114" max="4114" width="3.140625" style="1978" customWidth="1"/>
    <col min="4115" max="4115" width="14.85546875" style="1978" bestFit="1" customWidth="1"/>
    <col min="4116" max="4344" width="14.7109375" style="1978"/>
    <col min="4345" max="4345" width="5.7109375" style="1978" customWidth="1"/>
    <col min="4346" max="4346" width="37.140625" style="1978" customWidth="1"/>
    <col min="4347" max="4347" width="8.7109375" style="1978" customWidth="1"/>
    <col min="4348" max="4348" width="1.7109375" style="1978" customWidth="1"/>
    <col min="4349" max="4349" width="9.7109375" style="1978" customWidth="1"/>
    <col min="4350" max="4350" width="2.7109375" style="1978" customWidth="1"/>
    <col min="4351" max="4351" width="12" style="1978" customWidth="1"/>
    <col min="4352" max="4352" width="2.7109375" style="1978" customWidth="1"/>
    <col min="4353" max="4353" width="12.42578125" style="1978" customWidth="1"/>
    <col min="4354" max="4354" width="2.7109375" style="1978" customWidth="1"/>
    <col min="4355" max="4356" width="14.140625" style="1978" customWidth="1"/>
    <col min="4357" max="4358" width="13.28515625" style="1978" customWidth="1"/>
    <col min="4359" max="4359" width="3.5703125" style="1978" customWidth="1"/>
    <col min="4360" max="4360" width="11.7109375" style="1978" customWidth="1"/>
    <col min="4361" max="4361" width="4.5703125" style="1978" bestFit="1" customWidth="1"/>
    <col min="4362" max="4362" width="12.140625" style="1978" bestFit="1" customWidth="1"/>
    <col min="4363" max="4363" width="2.7109375" style="1978" customWidth="1"/>
    <col min="4364" max="4364" width="12.140625" style="1978" bestFit="1" customWidth="1"/>
    <col min="4365" max="4365" width="16" style="1978" customWidth="1"/>
    <col min="4366" max="4366" width="12.5703125" style="1978" customWidth="1"/>
    <col min="4367" max="4367" width="14.5703125" style="1978" bestFit="1" customWidth="1"/>
    <col min="4368" max="4368" width="17.42578125" style="1978" customWidth="1"/>
    <col min="4369" max="4369" width="18.85546875" style="1978" customWidth="1"/>
    <col min="4370" max="4370" width="3.140625" style="1978" customWidth="1"/>
    <col min="4371" max="4371" width="14.85546875" style="1978" bestFit="1" customWidth="1"/>
    <col min="4372" max="4600" width="14.7109375" style="1978"/>
    <col min="4601" max="4601" width="5.7109375" style="1978" customWidth="1"/>
    <col min="4602" max="4602" width="37.140625" style="1978" customWidth="1"/>
    <col min="4603" max="4603" width="8.7109375" style="1978" customWidth="1"/>
    <col min="4604" max="4604" width="1.7109375" style="1978" customWidth="1"/>
    <col min="4605" max="4605" width="9.7109375" style="1978" customWidth="1"/>
    <col min="4606" max="4606" width="2.7109375" style="1978" customWidth="1"/>
    <col min="4607" max="4607" width="12" style="1978" customWidth="1"/>
    <col min="4608" max="4608" width="2.7109375" style="1978" customWidth="1"/>
    <col min="4609" max="4609" width="12.42578125" style="1978" customWidth="1"/>
    <col min="4610" max="4610" width="2.7109375" style="1978" customWidth="1"/>
    <col min="4611" max="4612" width="14.140625" style="1978" customWidth="1"/>
    <col min="4613" max="4614" width="13.28515625" style="1978" customWidth="1"/>
    <col min="4615" max="4615" width="3.5703125" style="1978" customWidth="1"/>
    <col min="4616" max="4616" width="11.7109375" style="1978" customWidth="1"/>
    <col min="4617" max="4617" width="4.5703125" style="1978" bestFit="1" customWidth="1"/>
    <col min="4618" max="4618" width="12.140625" style="1978" bestFit="1" customWidth="1"/>
    <col min="4619" max="4619" width="2.7109375" style="1978" customWidth="1"/>
    <col min="4620" max="4620" width="12.140625" style="1978" bestFit="1" customWidth="1"/>
    <col min="4621" max="4621" width="16" style="1978" customWidth="1"/>
    <col min="4622" max="4622" width="12.5703125" style="1978" customWidth="1"/>
    <col min="4623" max="4623" width="14.5703125" style="1978" bestFit="1" customWidth="1"/>
    <col min="4624" max="4624" width="17.42578125" style="1978" customWidth="1"/>
    <col min="4625" max="4625" width="18.85546875" style="1978" customWidth="1"/>
    <col min="4626" max="4626" width="3.140625" style="1978" customWidth="1"/>
    <col min="4627" max="4627" width="14.85546875" style="1978" bestFit="1" customWidth="1"/>
    <col min="4628" max="4856" width="14.7109375" style="1978"/>
    <col min="4857" max="4857" width="5.7109375" style="1978" customWidth="1"/>
    <col min="4858" max="4858" width="37.140625" style="1978" customWidth="1"/>
    <col min="4859" max="4859" width="8.7109375" style="1978" customWidth="1"/>
    <col min="4860" max="4860" width="1.7109375" style="1978" customWidth="1"/>
    <col min="4861" max="4861" width="9.7109375" style="1978" customWidth="1"/>
    <col min="4862" max="4862" width="2.7109375" style="1978" customWidth="1"/>
    <col min="4863" max="4863" width="12" style="1978" customWidth="1"/>
    <col min="4864" max="4864" width="2.7109375" style="1978" customWidth="1"/>
    <col min="4865" max="4865" width="12.42578125" style="1978" customWidth="1"/>
    <col min="4866" max="4866" width="2.7109375" style="1978" customWidth="1"/>
    <col min="4867" max="4868" width="14.140625" style="1978" customWidth="1"/>
    <col min="4869" max="4870" width="13.28515625" style="1978" customWidth="1"/>
    <col min="4871" max="4871" width="3.5703125" style="1978" customWidth="1"/>
    <col min="4872" max="4872" width="11.7109375" style="1978" customWidth="1"/>
    <col min="4873" max="4873" width="4.5703125" style="1978" bestFit="1" customWidth="1"/>
    <col min="4874" max="4874" width="12.140625" style="1978" bestFit="1" customWidth="1"/>
    <col min="4875" max="4875" width="2.7109375" style="1978" customWidth="1"/>
    <col min="4876" max="4876" width="12.140625" style="1978" bestFit="1" customWidth="1"/>
    <col min="4877" max="4877" width="16" style="1978" customWidth="1"/>
    <col min="4878" max="4878" width="12.5703125" style="1978" customWidth="1"/>
    <col min="4879" max="4879" width="14.5703125" style="1978" bestFit="1" customWidth="1"/>
    <col min="4880" max="4880" width="17.42578125" style="1978" customWidth="1"/>
    <col min="4881" max="4881" width="18.85546875" style="1978" customWidth="1"/>
    <col min="4882" max="4882" width="3.140625" style="1978" customWidth="1"/>
    <col min="4883" max="4883" width="14.85546875" style="1978" bestFit="1" customWidth="1"/>
    <col min="4884" max="5112" width="14.7109375" style="1978"/>
    <col min="5113" max="5113" width="5.7109375" style="1978" customWidth="1"/>
    <col min="5114" max="5114" width="37.140625" style="1978" customWidth="1"/>
    <col min="5115" max="5115" width="8.7109375" style="1978" customWidth="1"/>
    <col min="5116" max="5116" width="1.7109375" style="1978" customWidth="1"/>
    <col min="5117" max="5117" width="9.7109375" style="1978" customWidth="1"/>
    <col min="5118" max="5118" width="2.7109375" style="1978" customWidth="1"/>
    <col min="5119" max="5119" width="12" style="1978" customWidth="1"/>
    <col min="5120" max="5120" width="2.7109375" style="1978" customWidth="1"/>
    <col min="5121" max="5121" width="12.42578125" style="1978" customWidth="1"/>
    <col min="5122" max="5122" width="2.7109375" style="1978" customWidth="1"/>
    <col min="5123" max="5124" width="14.140625" style="1978" customWidth="1"/>
    <col min="5125" max="5126" width="13.28515625" style="1978" customWidth="1"/>
    <col min="5127" max="5127" width="3.5703125" style="1978" customWidth="1"/>
    <col min="5128" max="5128" width="11.7109375" style="1978" customWidth="1"/>
    <col min="5129" max="5129" width="4.5703125" style="1978" bestFit="1" customWidth="1"/>
    <col min="5130" max="5130" width="12.140625" style="1978" bestFit="1" customWidth="1"/>
    <col min="5131" max="5131" width="2.7109375" style="1978" customWidth="1"/>
    <col min="5132" max="5132" width="12.140625" style="1978" bestFit="1" customWidth="1"/>
    <col min="5133" max="5133" width="16" style="1978" customWidth="1"/>
    <col min="5134" max="5134" width="12.5703125" style="1978" customWidth="1"/>
    <col min="5135" max="5135" width="14.5703125" style="1978" bestFit="1" customWidth="1"/>
    <col min="5136" max="5136" width="17.42578125" style="1978" customWidth="1"/>
    <col min="5137" max="5137" width="18.85546875" style="1978" customWidth="1"/>
    <col min="5138" max="5138" width="3.140625" style="1978" customWidth="1"/>
    <col min="5139" max="5139" width="14.85546875" style="1978" bestFit="1" customWidth="1"/>
    <col min="5140" max="5368" width="14.7109375" style="1978"/>
    <col min="5369" max="5369" width="5.7109375" style="1978" customWidth="1"/>
    <col min="5370" max="5370" width="37.140625" style="1978" customWidth="1"/>
    <col min="5371" max="5371" width="8.7109375" style="1978" customWidth="1"/>
    <col min="5372" max="5372" width="1.7109375" style="1978" customWidth="1"/>
    <col min="5373" max="5373" width="9.7109375" style="1978" customWidth="1"/>
    <col min="5374" max="5374" width="2.7109375" style="1978" customWidth="1"/>
    <col min="5375" max="5375" width="12" style="1978" customWidth="1"/>
    <col min="5376" max="5376" width="2.7109375" style="1978" customWidth="1"/>
    <col min="5377" max="5377" width="12.42578125" style="1978" customWidth="1"/>
    <col min="5378" max="5378" width="2.7109375" style="1978" customWidth="1"/>
    <col min="5379" max="5380" width="14.140625" style="1978" customWidth="1"/>
    <col min="5381" max="5382" width="13.28515625" style="1978" customWidth="1"/>
    <col min="5383" max="5383" width="3.5703125" style="1978" customWidth="1"/>
    <col min="5384" max="5384" width="11.7109375" style="1978" customWidth="1"/>
    <col min="5385" max="5385" width="4.5703125" style="1978" bestFit="1" customWidth="1"/>
    <col min="5386" max="5386" width="12.140625" style="1978" bestFit="1" customWidth="1"/>
    <col min="5387" max="5387" width="2.7109375" style="1978" customWidth="1"/>
    <col min="5388" max="5388" width="12.140625" style="1978" bestFit="1" customWidth="1"/>
    <col min="5389" max="5389" width="16" style="1978" customWidth="1"/>
    <col min="5390" max="5390" width="12.5703125" style="1978" customWidth="1"/>
    <col min="5391" max="5391" width="14.5703125" style="1978" bestFit="1" customWidth="1"/>
    <col min="5392" max="5392" width="17.42578125" style="1978" customWidth="1"/>
    <col min="5393" max="5393" width="18.85546875" style="1978" customWidth="1"/>
    <col min="5394" max="5394" width="3.140625" style="1978" customWidth="1"/>
    <col min="5395" max="5395" width="14.85546875" style="1978" bestFit="1" customWidth="1"/>
    <col min="5396" max="5624" width="14.7109375" style="1978"/>
    <col min="5625" max="5625" width="5.7109375" style="1978" customWidth="1"/>
    <col min="5626" max="5626" width="37.140625" style="1978" customWidth="1"/>
    <col min="5627" max="5627" width="8.7109375" style="1978" customWidth="1"/>
    <col min="5628" max="5628" width="1.7109375" style="1978" customWidth="1"/>
    <col min="5629" max="5629" width="9.7109375" style="1978" customWidth="1"/>
    <col min="5630" max="5630" width="2.7109375" style="1978" customWidth="1"/>
    <col min="5631" max="5631" width="12" style="1978" customWidth="1"/>
    <col min="5632" max="5632" width="2.7109375" style="1978" customWidth="1"/>
    <col min="5633" max="5633" width="12.42578125" style="1978" customWidth="1"/>
    <col min="5634" max="5634" width="2.7109375" style="1978" customWidth="1"/>
    <col min="5635" max="5636" width="14.140625" style="1978" customWidth="1"/>
    <col min="5637" max="5638" width="13.28515625" style="1978" customWidth="1"/>
    <col min="5639" max="5639" width="3.5703125" style="1978" customWidth="1"/>
    <col min="5640" max="5640" width="11.7109375" style="1978" customWidth="1"/>
    <col min="5641" max="5641" width="4.5703125" style="1978" bestFit="1" customWidth="1"/>
    <col min="5642" max="5642" width="12.140625" style="1978" bestFit="1" customWidth="1"/>
    <col min="5643" max="5643" width="2.7109375" style="1978" customWidth="1"/>
    <col min="5644" max="5644" width="12.140625" style="1978" bestFit="1" customWidth="1"/>
    <col min="5645" max="5645" width="16" style="1978" customWidth="1"/>
    <col min="5646" max="5646" width="12.5703125" style="1978" customWidth="1"/>
    <col min="5647" max="5647" width="14.5703125" style="1978" bestFit="1" customWidth="1"/>
    <col min="5648" max="5648" width="17.42578125" style="1978" customWidth="1"/>
    <col min="5649" max="5649" width="18.85546875" style="1978" customWidth="1"/>
    <col min="5650" max="5650" width="3.140625" style="1978" customWidth="1"/>
    <col min="5651" max="5651" width="14.85546875" style="1978" bestFit="1" customWidth="1"/>
    <col min="5652" max="5880" width="14.7109375" style="1978"/>
    <col min="5881" max="5881" width="5.7109375" style="1978" customWidth="1"/>
    <col min="5882" max="5882" width="37.140625" style="1978" customWidth="1"/>
    <col min="5883" max="5883" width="8.7109375" style="1978" customWidth="1"/>
    <col min="5884" max="5884" width="1.7109375" style="1978" customWidth="1"/>
    <col min="5885" max="5885" width="9.7109375" style="1978" customWidth="1"/>
    <col min="5886" max="5886" width="2.7109375" style="1978" customWidth="1"/>
    <col min="5887" max="5887" width="12" style="1978" customWidth="1"/>
    <col min="5888" max="5888" width="2.7109375" style="1978" customWidth="1"/>
    <col min="5889" max="5889" width="12.42578125" style="1978" customWidth="1"/>
    <col min="5890" max="5890" width="2.7109375" style="1978" customWidth="1"/>
    <col min="5891" max="5892" width="14.140625" style="1978" customWidth="1"/>
    <col min="5893" max="5894" width="13.28515625" style="1978" customWidth="1"/>
    <col min="5895" max="5895" width="3.5703125" style="1978" customWidth="1"/>
    <col min="5896" max="5896" width="11.7109375" style="1978" customWidth="1"/>
    <col min="5897" max="5897" width="4.5703125" style="1978" bestFit="1" customWidth="1"/>
    <col min="5898" max="5898" width="12.140625" style="1978" bestFit="1" customWidth="1"/>
    <col min="5899" max="5899" width="2.7109375" style="1978" customWidth="1"/>
    <col min="5900" max="5900" width="12.140625" style="1978" bestFit="1" customWidth="1"/>
    <col min="5901" max="5901" width="16" style="1978" customWidth="1"/>
    <col min="5902" max="5902" width="12.5703125" style="1978" customWidth="1"/>
    <col min="5903" max="5903" width="14.5703125" style="1978" bestFit="1" customWidth="1"/>
    <col min="5904" max="5904" width="17.42578125" style="1978" customWidth="1"/>
    <col min="5905" max="5905" width="18.85546875" style="1978" customWidth="1"/>
    <col min="5906" max="5906" width="3.140625" style="1978" customWidth="1"/>
    <col min="5907" max="5907" width="14.85546875" style="1978" bestFit="1" customWidth="1"/>
    <col min="5908" max="6136" width="14.7109375" style="1978"/>
    <col min="6137" max="6137" width="5.7109375" style="1978" customWidth="1"/>
    <col min="6138" max="6138" width="37.140625" style="1978" customWidth="1"/>
    <col min="6139" max="6139" width="8.7109375" style="1978" customWidth="1"/>
    <col min="6140" max="6140" width="1.7109375" style="1978" customWidth="1"/>
    <col min="6141" max="6141" width="9.7109375" style="1978" customWidth="1"/>
    <col min="6142" max="6142" width="2.7109375" style="1978" customWidth="1"/>
    <col min="6143" max="6143" width="12" style="1978" customWidth="1"/>
    <col min="6144" max="6144" width="2.7109375" style="1978" customWidth="1"/>
    <col min="6145" max="6145" width="12.42578125" style="1978" customWidth="1"/>
    <col min="6146" max="6146" width="2.7109375" style="1978" customWidth="1"/>
    <col min="6147" max="6148" width="14.140625" style="1978" customWidth="1"/>
    <col min="6149" max="6150" width="13.28515625" style="1978" customWidth="1"/>
    <col min="6151" max="6151" width="3.5703125" style="1978" customWidth="1"/>
    <col min="6152" max="6152" width="11.7109375" style="1978" customWidth="1"/>
    <col min="6153" max="6153" width="4.5703125" style="1978" bestFit="1" customWidth="1"/>
    <col min="6154" max="6154" width="12.140625" style="1978" bestFit="1" customWidth="1"/>
    <col min="6155" max="6155" width="2.7109375" style="1978" customWidth="1"/>
    <col min="6156" max="6156" width="12.140625" style="1978" bestFit="1" customWidth="1"/>
    <col min="6157" max="6157" width="16" style="1978" customWidth="1"/>
    <col min="6158" max="6158" width="12.5703125" style="1978" customWidth="1"/>
    <col min="6159" max="6159" width="14.5703125" style="1978" bestFit="1" customWidth="1"/>
    <col min="6160" max="6160" width="17.42578125" style="1978" customWidth="1"/>
    <col min="6161" max="6161" width="18.85546875" style="1978" customWidth="1"/>
    <col min="6162" max="6162" width="3.140625" style="1978" customWidth="1"/>
    <col min="6163" max="6163" width="14.85546875" style="1978" bestFit="1" customWidth="1"/>
    <col min="6164" max="6392" width="14.7109375" style="1978"/>
    <col min="6393" max="6393" width="5.7109375" style="1978" customWidth="1"/>
    <col min="6394" max="6394" width="37.140625" style="1978" customWidth="1"/>
    <col min="6395" max="6395" width="8.7109375" style="1978" customWidth="1"/>
    <col min="6396" max="6396" width="1.7109375" style="1978" customWidth="1"/>
    <col min="6397" max="6397" width="9.7109375" style="1978" customWidth="1"/>
    <col min="6398" max="6398" width="2.7109375" style="1978" customWidth="1"/>
    <col min="6399" max="6399" width="12" style="1978" customWidth="1"/>
    <col min="6400" max="6400" width="2.7109375" style="1978" customWidth="1"/>
    <col min="6401" max="6401" width="12.42578125" style="1978" customWidth="1"/>
    <col min="6402" max="6402" width="2.7109375" style="1978" customWidth="1"/>
    <col min="6403" max="6404" width="14.140625" style="1978" customWidth="1"/>
    <col min="6405" max="6406" width="13.28515625" style="1978" customWidth="1"/>
    <col min="6407" max="6407" width="3.5703125" style="1978" customWidth="1"/>
    <col min="6408" max="6408" width="11.7109375" style="1978" customWidth="1"/>
    <col min="6409" max="6409" width="4.5703125" style="1978" bestFit="1" customWidth="1"/>
    <col min="6410" max="6410" width="12.140625" style="1978" bestFit="1" customWidth="1"/>
    <col min="6411" max="6411" width="2.7109375" style="1978" customWidth="1"/>
    <col min="6412" max="6412" width="12.140625" style="1978" bestFit="1" customWidth="1"/>
    <col min="6413" max="6413" width="16" style="1978" customWidth="1"/>
    <col min="6414" max="6414" width="12.5703125" style="1978" customWidth="1"/>
    <col min="6415" max="6415" width="14.5703125" style="1978" bestFit="1" customWidth="1"/>
    <col min="6416" max="6416" width="17.42578125" style="1978" customWidth="1"/>
    <col min="6417" max="6417" width="18.85546875" style="1978" customWidth="1"/>
    <col min="6418" max="6418" width="3.140625" style="1978" customWidth="1"/>
    <col min="6419" max="6419" width="14.85546875" style="1978" bestFit="1" customWidth="1"/>
    <col min="6420" max="6648" width="14.7109375" style="1978"/>
    <col min="6649" max="6649" width="5.7109375" style="1978" customWidth="1"/>
    <col min="6650" max="6650" width="37.140625" style="1978" customWidth="1"/>
    <col min="6651" max="6651" width="8.7109375" style="1978" customWidth="1"/>
    <col min="6652" max="6652" width="1.7109375" style="1978" customWidth="1"/>
    <col min="6653" max="6653" width="9.7109375" style="1978" customWidth="1"/>
    <col min="6654" max="6654" width="2.7109375" style="1978" customWidth="1"/>
    <col min="6655" max="6655" width="12" style="1978" customWidth="1"/>
    <col min="6656" max="6656" width="2.7109375" style="1978" customWidth="1"/>
    <col min="6657" max="6657" width="12.42578125" style="1978" customWidth="1"/>
    <col min="6658" max="6658" width="2.7109375" style="1978" customWidth="1"/>
    <col min="6659" max="6660" width="14.140625" style="1978" customWidth="1"/>
    <col min="6661" max="6662" width="13.28515625" style="1978" customWidth="1"/>
    <col min="6663" max="6663" width="3.5703125" style="1978" customWidth="1"/>
    <col min="6664" max="6664" width="11.7109375" style="1978" customWidth="1"/>
    <col min="6665" max="6665" width="4.5703125" style="1978" bestFit="1" customWidth="1"/>
    <col min="6666" max="6666" width="12.140625" style="1978" bestFit="1" customWidth="1"/>
    <col min="6667" max="6667" width="2.7109375" style="1978" customWidth="1"/>
    <col min="6668" max="6668" width="12.140625" style="1978" bestFit="1" customWidth="1"/>
    <col min="6669" max="6669" width="16" style="1978" customWidth="1"/>
    <col min="6670" max="6670" width="12.5703125" style="1978" customWidth="1"/>
    <col min="6671" max="6671" width="14.5703125" style="1978" bestFit="1" customWidth="1"/>
    <col min="6672" max="6672" width="17.42578125" style="1978" customWidth="1"/>
    <col min="6673" max="6673" width="18.85546875" style="1978" customWidth="1"/>
    <col min="6674" max="6674" width="3.140625" style="1978" customWidth="1"/>
    <col min="6675" max="6675" width="14.85546875" style="1978" bestFit="1" customWidth="1"/>
    <col min="6676" max="6904" width="14.7109375" style="1978"/>
    <col min="6905" max="6905" width="5.7109375" style="1978" customWidth="1"/>
    <col min="6906" max="6906" width="37.140625" style="1978" customWidth="1"/>
    <col min="6907" max="6907" width="8.7109375" style="1978" customWidth="1"/>
    <col min="6908" max="6908" width="1.7109375" style="1978" customWidth="1"/>
    <col min="6909" max="6909" width="9.7109375" style="1978" customWidth="1"/>
    <col min="6910" max="6910" width="2.7109375" style="1978" customWidth="1"/>
    <col min="6911" max="6911" width="12" style="1978" customWidth="1"/>
    <col min="6912" max="6912" width="2.7109375" style="1978" customWidth="1"/>
    <col min="6913" max="6913" width="12.42578125" style="1978" customWidth="1"/>
    <col min="6914" max="6914" width="2.7109375" style="1978" customWidth="1"/>
    <col min="6915" max="6916" width="14.140625" style="1978" customWidth="1"/>
    <col min="6917" max="6918" width="13.28515625" style="1978" customWidth="1"/>
    <col min="6919" max="6919" width="3.5703125" style="1978" customWidth="1"/>
    <col min="6920" max="6920" width="11.7109375" style="1978" customWidth="1"/>
    <col min="6921" max="6921" width="4.5703125" style="1978" bestFit="1" customWidth="1"/>
    <col min="6922" max="6922" width="12.140625" style="1978" bestFit="1" customWidth="1"/>
    <col min="6923" max="6923" width="2.7109375" style="1978" customWidth="1"/>
    <col min="6924" max="6924" width="12.140625" style="1978" bestFit="1" customWidth="1"/>
    <col min="6925" max="6925" width="16" style="1978" customWidth="1"/>
    <col min="6926" max="6926" width="12.5703125" style="1978" customWidth="1"/>
    <col min="6927" max="6927" width="14.5703125" style="1978" bestFit="1" customWidth="1"/>
    <col min="6928" max="6928" width="17.42578125" style="1978" customWidth="1"/>
    <col min="6929" max="6929" width="18.85546875" style="1978" customWidth="1"/>
    <col min="6930" max="6930" width="3.140625" style="1978" customWidth="1"/>
    <col min="6931" max="6931" width="14.85546875" style="1978" bestFit="1" customWidth="1"/>
    <col min="6932" max="7160" width="14.7109375" style="1978"/>
    <col min="7161" max="7161" width="5.7109375" style="1978" customWidth="1"/>
    <col min="7162" max="7162" width="37.140625" style="1978" customWidth="1"/>
    <col min="7163" max="7163" width="8.7109375" style="1978" customWidth="1"/>
    <col min="7164" max="7164" width="1.7109375" style="1978" customWidth="1"/>
    <col min="7165" max="7165" width="9.7109375" style="1978" customWidth="1"/>
    <col min="7166" max="7166" width="2.7109375" style="1978" customWidth="1"/>
    <col min="7167" max="7167" width="12" style="1978" customWidth="1"/>
    <col min="7168" max="7168" width="2.7109375" style="1978" customWidth="1"/>
    <col min="7169" max="7169" width="12.42578125" style="1978" customWidth="1"/>
    <col min="7170" max="7170" width="2.7109375" style="1978" customWidth="1"/>
    <col min="7171" max="7172" width="14.140625" style="1978" customWidth="1"/>
    <col min="7173" max="7174" width="13.28515625" style="1978" customWidth="1"/>
    <col min="7175" max="7175" width="3.5703125" style="1978" customWidth="1"/>
    <col min="7176" max="7176" width="11.7109375" style="1978" customWidth="1"/>
    <col min="7177" max="7177" width="4.5703125" style="1978" bestFit="1" customWidth="1"/>
    <col min="7178" max="7178" width="12.140625" style="1978" bestFit="1" customWidth="1"/>
    <col min="7179" max="7179" width="2.7109375" style="1978" customWidth="1"/>
    <col min="7180" max="7180" width="12.140625" style="1978" bestFit="1" customWidth="1"/>
    <col min="7181" max="7181" width="16" style="1978" customWidth="1"/>
    <col min="7182" max="7182" width="12.5703125" style="1978" customWidth="1"/>
    <col min="7183" max="7183" width="14.5703125" style="1978" bestFit="1" customWidth="1"/>
    <col min="7184" max="7184" width="17.42578125" style="1978" customWidth="1"/>
    <col min="7185" max="7185" width="18.85546875" style="1978" customWidth="1"/>
    <col min="7186" max="7186" width="3.140625" style="1978" customWidth="1"/>
    <col min="7187" max="7187" width="14.85546875" style="1978" bestFit="1" customWidth="1"/>
    <col min="7188" max="7416" width="14.7109375" style="1978"/>
    <col min="7417" max="7417" width="5.7109375" style="1978" customWidth="1"/>
    <col min="7418" max="7418" width="37.140625" style="1978" customWidth="1"/>
    <col min="7419" max="7419" width="8.7109375" style="1978" customWidth="1"/>
    <col min="7420" max="7420" width="1.7109375" style="1978" customWidth="1"/>
    <col min="7421" max="7421" width="9.7109375" style="1978" customWidth="1"/>
    <col min="7422" max="7422" width="2.7109375" style="1978" customWidth="1"/>
    <col min="7423" max="7423" width="12" style="1978" customWidth="1"/>
    <col min="7424" max="7424" width="2.7109375" style="1978" customWidth="1"/>
    <col min="7425" max="7425" width="12.42578125" style="1978" customWidth="1"/>
    <col min="7426" max="7426" width="2.7109375" style="1978" customWidth="1"/>
    <col min="7427" max="7428" width="14.140625" style="1978" customWidth="1"/>
    <col min="7429" max="7430" width="13.28515625" style="1978" customWidth="1"/>
    <col min="7431" max="7431" width="3.5703125" style="1978" customWidth="1"/>
    <col min="7432" max="7432" width="11.7109375" style="1978" customWidth="1"/>
    <col min="7433" max="7433" width="4.5703125" style="1978" bestFit="1" customWidth="1"/>
    <col min="7434" max="7434" width="12.140625" style="1978" bestFit="1" customWidth="1"/>
    <col min="7435" max="7435" width="2.7109375" style="1978" customWidth="1"/>
    <col min="7436" max="7436" width="12.140625" style="1978" bestFit="1" customWidth="1"/>
    <col min="7437" max="7437" width="16" style="1978" customWidth="1"/>
    <col min="7438" max="7438" width="12.5703125" style="1978" customWidth="1"/>
    <col min="7439" max="7439" width="14.5703125" style="1978" bestFit="1" customWidth="1"/>
    <col min="7440" max="7440" width="17.42578125" style="1978" customWidth="1"/>
    <col min="7441" max="7441" width="18.85546875" style="1978" customWidth="1"/>
    <col min="7442" max="7442" width="3.140625" style="1978" customWidth="1"/>
    <col min="7443" max="7443" width="14.85546875" style="1978" bestFit="1" customWidth="1"/>
    <col min="7444" max="7672" width="14.7109375" style="1978"/>
    <col min="7673" max="7673" width="5.7109375" style="1978" customWidth="1"/>
    <col min="7674" max="7674" width="37.140625" style="1978" customWidth="1"/>
    <col min="7675" max="7675" width="8.7109375" style="1978" customWidth="1"/>
    <col min="7676" max="7676" width="1.7109375" style="1978" customWidth="1"/>
    <col min="7677" max="7677" width="9.7109375" style="1978" customWidth="1"/>
    <col min="7678" max="7678" width="2.7109375" style="1978" customWidth="1"/>
    <col min="7679" max="7679" width="12" style="1978" customWidth="1"/>
    <col min="7680" max="7680" width="2.7109375" style="1978" customWidth="1"/>
    <col min="7681" max="7681" width="12.42578125" style="1978" customWidth="1"/>
    <col min="7682" max="7682" width="2.7109375" style="1978" customWidth="1"/>
    <col min="7683" max="7684" width="14.140625" style="1978" customWidth="1"/>
    <col min="7685" max="7686" width="13.28515625" style="1978" customWidth="1"/>
    <col min="7687" max="7687" width="3.5703125" style="1978" customWidth="1"/>
    <col min="7688" max="7688" width="11.7109375" style="1978" customWidth="1"/>
    <col min="7689" max="7689" width="4.5703125" style="1978" bestFit="1" customWidth="1"/>
    <col min="7690" max="7690" width="12.140625" style="1978" bestFit="1" customWidth="1"/>
    <col min="7691" max="7691" width="2.7109375" style="1978" customWidth="1"/>
    <col min="7692" max="7692" width="12.140625" style="1978" bestFit="1" customWidth="1"/>
    <col min="7693" max="7693" width="16" style="1978" customWidth="1"/>
    <col min="7694" max="7694" width="12.5703125" style="1978" customWidth="1"/>
    <col min="7695" max="7695" width="14.5703125" style="1978" bestFit="1" customWidth="1"/>
    <col min="7696" max="7696" width="17.42578125" style="1978" customWidth="1"/>
    <col min="7697" max="7697" width="18.85546875" style="1978" customWidth="1"/>
    <col min="7698" max="7698" width="3.140625" style="1978" customWidth="1"/>
    <col min="7699" max="7699" width="14.85546875" style="1978" bestFit="1" customWidth="1"/>
    <col min="7700" max="7928" width="14.7109375" style="1978"/>
    <col min="7929" max="7929" width="5.7109375" style="1978" customWidth="1"/>
    <col min="7930" max="7930" width="37.140625" style="1978" customWidth="1"/>
    <col min="7931" max="7931" width="8.7109375" style="1978" customWidth="1"/>
    <col min="7932" max="7932" width="1.7109375" style="1978" customWidth="1"/>
    <col min="7933" max="7933" width="9.7109375" style="1978" customWidth="1"/>
    <col min="7934" max="7934" width="2.7109375" style="1978" customWidth="1"/>
    <col min="7935" max="7935" width="12" style="1978" customWidth="1"/>
    <col min="7936" max="7936" width="2.7109375" style="1978" customWidth="1"/>
    <col min="7937" max="7937" width="12.42578125" style="1978" customWidth="1"/>
    <col min="7938" max="7938" width="2.7109375" style="1978" customWidth="1"/>
    <col min="7939" max="7940" width="14.140625" style="1978" customWidth="1"/>
    <col min="7941" max="7942" width="13.28515625" style="1978" customWidth="1"/>
    <col min="7943" max="7943" width="3.5703125" style="1978" customWidth="1"/>
    <col min="7944" max="7944" width="11.7109375" style="1978" customWidth="1"/>
    <col min="7945" max="7945" width="4.5703125" style="1978" bestFit="1" customWidth="1"/>
    <col min="7946" max="7946" width="12.140625" style="1978" bestFit="1" customWidth="1"/>
    <col min="7947" max="7947" width="2.7109375" style="1978" customWidth="1"/>
    <col min="7948" max="7948" width="12.140625" style="1978" bestFit="1" customWidth="1"/>
    <col min="7949" max="7949" width="16" style="1978" customWidth="1"/>
    <col min="7950" max="7950" width="12.5703125" style="1978" customWidth="1"/>
    <col min="7951" max="7951" width="14.5703125" style="1978" bestFit="1" customWidth="1"/>
    <col min="7952" max="7952" width="17.42578125" style="1978" customWidth="1"/>
    <col min="7953" max="7953" width="18.85546875" style="1978" customWidth="1"/>
    <col min="7954" max="7954" width="3.140625" style="1978" customWidth="1"/>
    <col min="7955" max="7955" width="14.85546875" style="1978" bestFit="1" customWidth="1"/>
    <col min="7956" max="8184" width="14.7109375" style="1978"/>
    <col min="8185" max="8185" width="5.7109375" style="1978" customWidth="1"/>
    <col min="8186" max="8186" width="37.140625" style="1978" customWidth="1"/>
    <col min="8187" max="8187" width="8.7109375" style="1978" customWidth="1"/>
    <col min="8188" max="8188" width="1.7109375" style="1978" customWidth="1"/>
    <col min="8189" max="8189" width="9.7109375" style="1978" customWidth="1"/>
    <col min="8190" max="8190" width="2.7109375" style="1978" customWidth="1"/>
    <col min="8191" max="8191" width="12" style="1978" customWidth="1"/>
    <col min="8192" max="8192" width="2.7109375" style="1978" customWidth="1"/>
    <col min="8193" max="8193" width="12.42578125" style="1978" customWidth="1"/>
    <col min="8194" max="8194" width="2.7109375" style="1978" customWidth="1"/>
    <col min="8195" max="8196" width="14.140625" style="1978" customWidth="1"/>
    <col min="8197" max="8198" width="13.28515625" style="1978" customWidth="1"/>
    <col min="8199" max="8199" width="3.5703125" style="1978" customWidth="1"/>
    <col min="8200" max="8200" width="11.7109375" style="1978" customWidth="1"/>
    <col min="8201" max="8201" width="4.5703125" style="1978" bestFit="1" customWidth="1"/>
    <col min="8202" max="8202" width="12.140625" style="1978" bestFit="1" customWidth="1"/>
    <col min="8203" max="8203" width="2.7109375" style="1978" customWidth="1"/>
    <col min="8204" max="8204" width="12.140625" style="1978" bestFit="1" customWidth="1"/>
    <col min="8205" max="8205" width="16" style="1978" customWidth="1"/>
    <col min="8206" max="8206" width="12.5703125" style="1978" customWidth="1"/>
    <col min="8207" max="8207" width="14.5703125" style="1978" bestFit="1" customWidth="1"/>
    <col min="8208" max="8208" width="17.42578125" style="1978" customWidth="1"/>
    <col min="8209" max="8209" width="18.85546875" style="1978" customWidth="1"/>
    <col min="8210" max="8210" width="3.140625" style="1978" customWidth="1"/>
    <col min="8211" max="8211" width="14.85546875" style="1978" bestFit="1" customWidth="1"/>
    <col min="8212" max="8440" width="14.7109375" style="1978"/>
    <col min="8441" max="8441" width="5.7109375" style="1978" customWidth="1"/>
    <col min="8442" max="8442" width="37.140625" style="1978" customWidth="1"/>
    <col min="8443" max="8443" width="8.7109375" style="1978" customWidth="1"/>
    <col min="8444" max="8444" width="1.7109375" style="1978" customWidth="1"/>
    <col min="8445" max="8445" width="9.7109375" style="1978" customWidth="1"/>
    <col min="8446" max="8446" width="2.7109375" style="1978" customWidth="1"/>
    <col min="8447" max="8447" width="12" style="1978" customWidth="1"/>
    <col min="8448" max="8448" width="2.7109375" style="1978" customWidth="1"/>
    <col min="8449" max="8449" width="12.42578125" style="1978" customWidth="1"/>
    <col min="8450" max="8450" width="2.7109375" style="1978" customWidth="1"/>
    <col min="8451" max="8452" width="14.140625" style="1978" customWidth="1"/>
    <col min="8453" max="8454" width="13.28515625" style="1978" customWidth="1"/>
    <col min="8455" max="8455" width="3.5703125" style="1978" customWidth="1"/>
    <col min="8456" max="8456" width="11.7109375" style="1978" customWidth="1"/>
    <col min="8457" max="8457" width="4.5703125" style="1978" bestFit="1" customWidth="1"/>
    <col min="8458" max="8458" width="12.140625" style="1978" bestFit="1" customWidth="1"/>
    <col min="8459" max="8459" width="2.7109375" style="1978" customWidth="1"/>
    <col min="8460" max="8460" width="12.140625" style="1978" bestFit="1" customWidth="1"/>
    <col min="8461" max="8461" width="16" style="1978" customWidth="1"/>
    <col min="8462" max="8462" width="12.5703125" style="1978" customWidth="1"/>
    <col min="8463" max="8463" width="14.5703125" style="1978" bestFit="1" customWidth="1"/>
    <col min="8464" max="8464" width="17.42578125" style="1978" customWidth="1"/>
    <col min="8465" max="8465" width="18.85546875" style="1978" customWidth="1"/>
    <col min="8466" max="8466" width="3.140625" style="1978" customWidth="1"/>
    <col min="8467" max="8467" width="14.85546875" style="1978" bestFit="1" customWidth="1"/>
    <col min="8468" max="8696" width="14.7109375" style="1978"/>
    <col min="8697" max="8697" width="5.7109375" style="1978" customWidth="1"/>
    <col min="8698" max="8698" width="37.140625" style="1978" customWidth="1"/>
    <col min="8699" max="8699" width="8.7109375" style="1978" customWidth="1"/>
    <col min="8700" max="8700" width="1.7109375" style="1978" customWidth="1"/>
    <col min="8701" max="8701" width="9.7109375" style="1978" customWidth="1"/>
    <col min="8702" max="8702" width="2.7109375" style="1978" customWidth="1"/>
    <col min="8703" max="8703" width="12" style="1978" customWidth="1"/>
    <col min="8704" max="8704" width="2.7109375" style="1978" customWidth="1"/>
    <col min="8705" max="8705" width="12.42578125" style="1978" customWidth="1"/>
    <col min="8706" max="8706" width="2.7109375" style="1978" customWidth="1"/>
    <col min="8707" max="8708" width="14.140625" style="1978" customWidth="1"/>
    <col min="8709" max="8710" width="13.28515625" style="1978" customWidth="1"/>
    <col min="8711" max="8711" width="3.5703125" style="1978" customWidth="1"/>
    <col min="8712" max="8712" width="11.7109375" style="1978" customWidth="1"/>
    <col min="8713" max="8713" width="4.5703125" style="1978" bestFit="1" customWidth="1"/>
    <col min="8714" max="8714" width="12.140625" style="1978" bestFit="1" customWidth="1"/>
    <col min="8715" max="8715" width="2.7109375" style="1978" customWidth="1"/>
    <col min="8716" max="8716" width="12.140625" style="1978" bestFit="1" customWidth="1"/>
    <col min="8717" max="8717" width="16" style="1978" customWidth="1"/>
    <col min="8718" max="8718" width="12.5703125" style="1978" customWidth="1"/>
    <col min="8719" max="8719" width="14.5703125" style="1978" bestFit="1" customWidth="1"/>
    <col min="8720" max="8720" width="17.42578125" style="1978" customWidth="1"/>
    <col min="8721" max="8721" width="18.85546875" style="1978" customWidth="1"/>
    <col min="8722" max="8722" width="3.140625" style="1978" customWidth="1"/>
    <col min="8723" max="8723" width="14.85546875" style="1978" bestFit="1" customWidth="1"/>
    <col min="8724" max="8952" width="14.7109375" style="1978"/>
    <col min="8953" max="8953" width="5.7109375" style="1978" customWidth="1"/>
    <col min="8954" max="8954" width="37.140625" style="1978" customWidth="1"/>
    <col min="8955" max="8955" width="8.7109375" style="1978" customWidth="1"/>
    <col min="8956" max="8956" width="1.7109375" style="1978" customWidth="1"/>
    <col min="8957" max="8957" width="9.7109375" style="1978" customWidth="1"/>
    <col min="8958" max="8958" width="2.7109375" style="1978" customWidth="1"/>
    <col min="8959" max="8959" width="12" style="1978" customWidth="1"/>
    <col min="8960" max="8960" width="2.7109375" style="1978" customWidth="1"/>
    <col min="8961" max="8961" width="12.42578125" style="1978" customWidth="1"/>
    <col min="8962" max="8962" width="2.7109375" style="1978" customWidth="1"/>
    <col min="8963" max="8964" width="14.140625" style="1978" customWidth="1"/>
    <col min="8965" max="8966" width="13.28515625" style="1978" customWidth="1"/>
    <col min="8967" max="8967" width="3.5703125" style="1978" customWidth="1"/>
    <col min="8968" max="8968" width="11.7109375" style="1978" customWidth="1"/>
    <col min="8969" max="8969" width="4.5703125" style="1978" bestFit="1" customWidth="1"/>
    <col min="8970" max="8970" width="12.140625" style="1978" bestFit="1" customWidth="1"/>
    <col min="8971" max="8971" width="2.7109375" style="1978" customWidth="1"/>
    <col min="8972" max="8972" width="12.140625" style="1978" bestFit="1" customWidth="1"/>
    <col min="8973" max="8973" width="16" style="1978" customWidth="1"/>
    <col min="8974" max="8974" width="12.5703125" style="1978" customWidth="1"/>
    <col min="8975" max="8975" width="14.5703125" style="1978" bestFit="1" customWidth="1"/>
    <col min="8976" max="8976" width="17.42578125" style="1978" customWidth="1"/>
    <col min="8977" max="8977" width="18.85546875" style="1978" customWidth="1"/>
    <col min="8978" max="8978" width="3.140625" style="1978" customWidth="1"/>
    <col min="8979" max="8979" width="14.85546875" style="1978" bestFit="1" customWidth="1"/>
    <col min="8980" max="9208" width="14.7109375" style="1978"/>
    <col min="9209" max="9209" width="5.7109375" style="1978" customWidth="1"/>
    <col min="9210" max="9210" width="37.140625" style="1978" customWidth="1"/>
    <col min="9211" max="9211" width="8.7109375" style="1978" customWidth="1"/>
    <col min="9212" max="9212" width="1.7109375" style="1978" customWidth="1"/>
    <col min="9213" max="9213" width="9.7109375" style="1978" customWidth="1"/>
    <col min="9214" max="9214" width="2.7109375" style="1978" customWidth="1"/>
    <col min="9215" max="9215" width="12" style="1978" customWidth="1"/>
    <col min="9216" max="9216" width="2.7109375" style="1978" customWidth="1"/>
    <col min="9217" max="9217" width="12.42578125" style="1978" customWidth="1"/>
    <col min="9218" max="9218" width="2.7109375" style="1978" customWidth="1"/>
    <col min="9219" max="9220" width="14.140625" style="1978" customWidth="1"/>
    <col min="9221" max="9222" width="13.28515625" style="1978" customWidth="1"/>
    <col min="9223" max="9223" width="3.5703125" style="1978" customWidth="1"/>
    <col min="9224" max="9224" width="11.7109375" style="1978" customWidth="1"/>
    <col min="9225" max="9225" width="4.5703125" style="1978" bestFit="1" customWidth="1"/>
    <col min="9226" max="9226" width="12.140625" style="1978" bestFit="1" customWidth="1"/>
    <col min="9227" max="9227" width="2.7109375" style="1978" customWidth="1"/>
    <col min="9228" max="9228" width="12.140625" style="1978" bestFit="1" customWidth="1"/>
    <col min="9229" max="9229" width="16" style="1978" customWidth="1"/>
    <col min="9230" max="9230" width="12.5703125" style="1978" customWidth="1"/>
    <col min="9231" max="9231" width="14.5703125" style="1978" bestFit="1" customWidth="1"/>
    <col min="9232" max="9232" width="17.42578125" style="1978" customWidth="1"/>
    <col min="9233" max="9233" width="18.85546875" style="1978" customWidth="1"/>
    <col min="9234" max="9234" width="3.140625" style="1978" customWidth="1"/>
    <col min="9235" max="9235" width="14.85546875" style="1978" bestFit="1" customWidth="1"/>
    <col min="9236" max="9464" width="14.7109375" style="1978"/>
    <col min="9465" max="9465" width="5.7109375" style="1978" customWidth="1"/>
    <col min="9466" max="9466" width="37.140625" style="1978" customWidth="1"/>
    <col min="9467" max="9467" width="8.7109375" style="1978" customWidth="1"/>
    <col min="9468" max="9468" width="1.7109375" style="1978" customWidth="1"/>
    <col min="9469" max="9469" width="9.7109375" style="1978" customWidth="1"/>
    <col min="9470" max="9470" width="2.7109375" style="1978" customWidth="1"/>
    <col min="9471" max="9471" width="12" style="1978" customWidth="1"/>
    <col min="9472" max="9472" width="2.7109375" style="1978" customWidth="1"/>
    <col min="9473" max="9473" width="12.42578125" style="1978" customWidth="1"/>
    <col min="9474" max="9474" width="2.7109375" style="1978" customWidth="1"/>
    <col min="9475" max="9476" width="14.140625" style="1978" customWidth="1"/>
    <col min="9477" max="9478" width="13.28515625" style="1978" customWidth="1"/>
    <col min="9479" max="9479" width="3.5703125" style="1978" customWidth="1"/>
    <col min="9480" max="9480" width="11.7109375" style="1978" customWidth="1"/>
    <col min="9481" max="9481" width="4.5703125" style="1978" bestFit="1" customWidth="1"/>
    <col min="9482" max="9482" width="12.140625" style="1978" bestFit="1" customWidth="1"/>
    <col min="9483" max="9483" width="2.7109375" style="1978" customWidth="1"/>
    <col min="9484" max="9484" width="12.140625" style="1978" bestFit="1" customWidth="1"/>
    <col min="9485" max="9485" width="16" style="1978" customWidth="1"/>
    <col min="9486" max="9486" width="12.5703125" style="1978" customWidth="1"/>
    <col min="9487" max="9487" width="14.5703125" style="1978" bestFit="1" customWidth="1"/>
    <col min="9488" max="9488" width="17.42578125" style="1978" customWidth="1"/>
    <col min="9489" max="9489" width="18.85546875" style="1978" customWidth="1"/>
    <col min="9490" max="9490" width="3.140625" style="1978" customWidth="1"/>
    <col min="9491" max="9491" width="14.85546875" style="1978" bestFit="1" customWidth="1"/>
    <col min="9492" max="9720" width="14.7109375" style="1978"/>
    <col min="9721" max="9721" width="5.7109375" style="1978" customWidth="1"/>
    <col min="9722" max="9722" width="37.140625" style="1978" customWidth="1"/>
    <col min="9723" max="9723" width="8.7109375" style="1978" customWidth="1"/>
    <col min="9724" max="9724" width="1.7109375" style="1978" customWidth="1"/>
    <col min="9725" max="9725" width="9.7109375" style="1978" customWidth="1"/>
    <col min="9726" max="9726" width="2.7109375" style="1978" customWidth="1"/>
    <col min="9727" max="9727" width="12" style="1978" customWidth="1"/>
    <col min="9728" max="9728" width="2.7109375" style="1978" customWidth="1"/>
    <col min="9729" max="9729" width="12.42578125" style="1978" customWidth="1"/>
    <col min="9730" max="9730" width="2.7109375" style="1978" customWidth="1"/>
    <col min="9731" max="9732" width="14.140625" style="1978" customWidth="1"/>
    <col min="9733" max="9734" width="13.28515625" style="1978" customWidth="1"/>
    <col min="9735" max="9735" width="3.5703125" style="1978" customWidth="1"/>
    <col min="9736" max="9736" width="11.7109375" style="1978" customWidth="1"/>
    <col min="9737" max="9737" width="4.5703125" style="1978" bestFit="1" customWidth="1"/>
    <col min="9738" max="9738" width="12.140625" style="1978" bestFit="1" customWidth="1"/>
    <col min="9739" max="9739" width="2.7109375" style="1978" customWidth="1"/>
    <col min="9740" max="9740" width="12.140625" style="1978" bestFit="1" customWidth="1"/>
    <col min="9741" max="9741" width="16" style="1978" customWidth="1"/>
    <col min="9742" max="9742" width="12.5703125" style="1978" customWidth="1"/>
    <col min="9743" max="9743" width="14.5703125" style="1978" bestFit="1" customWidth="1"/>
    <col min="9744" max="9744" width="17.42578125" style="1978" customWidth="1"/>
    <col min="9745" max="9745" width="18.85546875" style="1978" customWidth="1"/>
    <col min="9746" max="9746" width="3.140625" style="1978" customWidth="1"/>
    <col min="9747" max="9747" width="14.85546875" style="1978" bestFit="1" customWidth="1"/>
    <col min="9748" max="9976" width="14.7109375" style="1978"/>
    <col min="9977" max="9977" width="5.7109375" style="1978" customWidth="1"/>
    <col min="9978" max="9978" width="37.140625" style="1978" customWidth="1"/>
    <col min="9979" max="9979" width="8.7109375" style="1978" customWidth="1"/>
    <col min="9980" max="9980" width="1.7109375" style="1978" customWidth="1"/>
    <col min="9981" max="9981" width="9.7109375" style="1978" customWidth="1"/>
    <col min="9982" max="9982" width="2.7109375" style="1978" customWidth="1"/>
    <col min="9983" max="9983" width="12" style="1978" customWidth="1"/>
    <col min="9984" max="9984" width="2.7109375" style="1978" customWidth="1"/>
    <col min="9985" max="9985" width="12.42578125" style="1978" customWidth="1"/>
    <col min="9986" max="9986" width="2.7109375" style="1978" customWidth="1"/>
    <col min="9987" max="9988" width="14.140625" style="1978" customWidth="1"/>
    <col min="9989" max="9990" width="13.28515625" style="1978" customWidth="1"/>
    <col min="9991" max="9991" width="3.5703125" style="1978" customWidth="1"/>
    <col min="9992" max="9992" width="11.7109375" style="1978" customWidth="1"/>
    <col min="9993" max="9993" width="4.5703125" style="1978" bestFit="1" customWidth="1"/>
    <col min="9994" max="9994" width="12.140625" style="1978" bestFit="1" customWidth="1"/>
    <col min="9995" max="9995" width="2.7109375" style="1978" customWidth="1"/>
    <col min="9996" max="9996" width="12.140625" style="1978" bestFit="1" customWidth="1"/>
    <col min="9997" max="9997" width="16" style="1978" customWidth="1"/>
    <col min="9998" max="9998" width="12.5703125" style="1978" customWidth="1"/>
    <col min="9999" max="9999" width="14.5703125" style="1978" bestFit="1" customWidth="1"/>
    <col min="10000" max="10000" width="17.42578125" style="1978" customWidth="1"/>
    <col min="10001" max="10001" width="18.85546875" style="1978" customWidth="1"/>
    <col min="10002" max="10002" width="3.140625" style="1978" customWidth="1"/>
    <col min="10003" max="10003" width="14.85546875" style="1978" bestFit="1" customWidth="1"/>
    <col min="10004" max="10232" width="14.7109375" style="1978"/>
    <col min="10233" max="10233" width="5.7109375" style="1978" customWidth="1"/>
    <col min="10234" max="10234" width="37.140625" style="1978" customWidth="1"/>
    <col min="10235" max="10235" width="8.7109375" style="1978" customWidth="1"/>
    <col min="10236" max="10236" width="1.7109375" style="1978" customWidth="1"/>
    <col min="10237" max="10237" width="9.7109375" style="1978" customWidth="1"/>
    <col min="10238" max="10238" width="2.7109375" style="1978" customWidth="1"/>
    <col min="10239" max="10239" width="12" style="1978" customWidth="1"/>
    <col min="10240" max="10240" width="2.7109375" style="1978" customWidth="1"/>
    <col min="10241" max="10241" width="12.42578125" style="1978" customWidth="1"/>
    <col min="10242" max="10242" width="2.7109375" style="1978" customWidth="1"/>
    <col min="10243" max="10244" width="14.140625" style="1978" customWidth="1"/>
    <col min="10245" max="10246" width="13.28515625" style="1978" customWidth="1"/>
    <col min="10247" max="10247" width="3.5703125" style="1978" customWidth="1"/>
    <col min="10248" max="10248" width="11.7109375" style="1978" customWidth="1"/>
    <col min="10249" max="10249" width="4.5703125" style="1978" bestFit="1" customWidth="1"/>
    <col min="10250" max="10250" width="12.140625" style="1978" bestFit="1" customWidth="1"/>
    <col min="10251" max="10251" width="2.7109375" style="1978" customWidth="1"/>
    <col min="10252" max="10252" width="12.140625" style="1978" bestFit="1" customWidth="1"/>
    <col min="10253" max="10253" width="16" style="1978" customWidth="1"/>
    <col min="10254" max="10254" width="12.5703125" style="1978" customWidth="1"/>
    <col min="10255" max="10255" width="14.5703125" style="1978" bestFit="1" customWidth="1"/>
    <col min="10256" max="10256" width="17.42578125" style="1978" customWidth="1"/>
    <col min="10257" max="10257" width="18.85546875" style="1978" customWidth="1"/>
    <col min="10258" max="10258" width="3.140625" style="1978" customWidth="1"/>
    <col min="10259" max="10259" width="14.85546875" style="1978" bestFit="1" customWidth="1"/>
    <col min="10260" max="10488" width="14.7109375" style="1978"/>
    <col min="10489" max="10489" width="5.7109375" style="1978" customWidth="1"/>
    <col min="10490" max="10490" width="37.140625" style="1978" customWidth="1"/>
    <col min="10491" max="10491" width="8.7109375" style="1978" customWidth="1"/>
    <col min="10492" max="10492" width="1.7109375" style="1978" customWidth="1"/>
    <col min="10493" max="10493" width="9.7109375" style="1978" customWidth="1"/>
    <col min="10494" max="10494" width="2.7109375" style="1978" customWidth="1"/>
    <col min="10495" max="10495" width="12" style="1978" customWidth="1"/>
    <col min="10496" max="10496" width="2.7109375" style="1978" customWidth="1"/>
    <col min="10497" max="10497" width="12.42578125" style="1978" customWidth="1"/>
    <col min="10498" max="10498" width="2.7109375" style="1978" customWidth="1"/>
    <col min="10499" max="10500" width="14.140625" style="1978" customWidth="1"/>
    <col min="10501" max="10502" width="13.28515625" style="1978" customWidth="1"/>
    <col min="10503" max="10503" width="3.5703125" style="1978" customWidth="1"/>
    <col min="10504" max="10504" width="11.7109375" style="1978" customWidth="1"/>
    <col min="10505" max="10505" width="4.5703125" style="1978" bestFit="1" customWidth="1"/>
    <col min="10506" max="10506" width="12.140625" style="1978" bestFit="1" customWidth="1"/>
    <col min="10507" max="10507" width="2.7109375" style="1978" customWidth="1"/>
    <col min="10508" max="10508" width="12.140625" style="1978" bestFit="1" customWidth="1"/>
    <col min="10509" max="10509" width="16" style="1978" customWidth="1"/>
    <col min="10510" max="10510" width="12.5703125" style="1978" customWidth="1"/>
    <col min="10511" max="10511" width="14.5703125" style="1978" bestFit="1" customWidth="1"/>
    <col min="10512" max="10512" width="17.42578125" style="1978" customWidth="1"/>
    <col min="10513" max="10513" width="18.85546875" style="1978" customWidth="1"/>
    <col min="10514" max="10514" width="3.140625" style="1978" customWidth="1"/>
    <col min="10515" max="10515" width="14.85546875" style="1978" bestFit="1" customWidth="1"/>
    <col min="10516" max="10744" width="14.7109375" style="1978"/>
    <col min="10745" max="10745" width="5.7109375" style="1978" customWidth="1"/>
    <col min="10746" max="10746" width="37.140625" style="1978" customWidth="1"/>
    <col min="10747" max="10747" width="8.7109375" style="1978" customWidth="1"/>
    <col min="10748" max="10748" width="1.7109375" style="1978" customWidth="1"/>
    <col min="10749" max="10749" width="9.7109375" style="1978" customWidth="1"/>
    <col min="10750" max="10750" width="2.7109375" style="1978" customWidth="1"/>
    <col min="10751" max="10751" width="12" style="1978" customWidth="1"/>
    <col min="10752" max="10752" width="2.7109375" style="1978" customWidth="1"/>
    <col min="10753" max="10753" width="12.42578125" style="1978" customWidth="1"/>
    <col min="10754" max="10754" width="2.7109375" style="1978" customWidth="1"/>
    <col min="10755" max="10756" width="14.140625" style="1978" customWidth="1"/>
    <col min="10757" max="10758" width="13.28515625" style="1978" customWidth="1"/>
    <col min="10759" max="10759" width="3.5703125" style="1978" customWidth="1"/>
    <col min="10760" max="10760" width="11.7109375" style="1978" customWidth="1"/>
    <col min="10761" max="10761" width="4.5703125" style="1978" bestFit="1" customWidth="1"/>
    <col min="10762" max="10762" width="12.140625" style="1978" bestFit="1" customWidth="1"/>
    <col min="10763" max="10763" width="2.7109375" style="1978" customWidth="1"/>
    <col min="10764" max="10764" width="12.140625" style="1978" bestFit="1" customWidth="1"/>
    <col min="10765" max="10765" width="16" style="1978" customWidth="1"/>
    <col min="10766" max="10766" width="12.5703125" style="1978" customWidth="1"/>
    <col min="10767" max="10767" width="14.5703125" style="1978" bestFit="1" customWidth="1"/>
    <col min="10768" max="10768" width="17.42578125" style="1978" customWidth="1"/>
    <col min="10769" max="10769" width="18.85546875" style="1978" customWidth="1"/>
    <col min="10770" max="10770" width="3.140625" style="1978" customWidth="1"/>
    <col min="10771" max="10771" width="14.85546875" style="1978" bestFit="1" customWidth="1"/>
    <col min="10772" max="11000" width="14.7109375" style="1978"/>
    <col min="11001" max="11001" width="5.7109375" style="1978" customWidth="1"/>
    <col min="11002" max="11002" width="37.140625" style="1978" customWidth="1"/>
    <col min="11003" max="11003" width="8.7109375" style="1978" customWidth="1"/>
    <col min="11004" max="11004" width="1.7109375" style="1978" customWidth="1"/>
    <col min="11005" max="11005" width="9.7109375" style="1978" customWidth="1"/>
    <col min="11006" max="11006" width="2.7109375" style="1978" customWidth="1"/>
    <col min="11007" max="11007" width="12" style="1978" customWidth="1"/>
    <col min="11008" max="11008" width="2.7109375" style="1978" customWidth="1"/>
    <col min="11009" max="11009" width="12.42578125" style="1978" customWidth="1"/>
    <col min="11010" max="11010" width="2.7109375" style="1978" customWidth="1"/>
    <col min="11011" max="11012" width="14.140625" style="1978" customWidth="1"/>
    <col min="11013" max="11014" width="13.28515625" style="1978" customWidth="1"/>
    <col min="11015" max="11015" width="3.5703125" style="1978" customWidth="1"/>
    <col min="11016" max="11016" width="11.7109375" style="1978" customWidth="1"/>
    <col min="11017" max="11017" width="4.5703125" style="1978" bestFit="1" customWidth="1"/>
    <col min="11018" max="11018" width="12.140625" style="1978" bestFit="1" customWidth="1"/>
    <col min="11019" max="11019" width="2.7109375" style="1978" customWidth="1"/>
    <col min="11020" max="11020" width="12.140625" style="1978" bestFit="1" customWidth="1"/>
    <col min="11021" max="11021" width="16" style="1978" customWidth="1"/>
    <col min="11022" max="11022" width="12.5703125" style="1978" customWidth="1"/>
    <col min="11023" max="11023" width="14.5703125" style="1978" bestFit="1" customWidth="1"/>
    <col min="11024" max="11024" width="17.42578125" style="1978" customWidth="1"/>
    <col min="11025" max="11025" width="18.85546875" style="1978" customWidth="1"/>
    <col min="11026" max="11026" width="3.140625" style="1978" customWidth="1"/>
    <col min="11027" max="11027" width="14.85546875" style="1978" bestFit="1" customWidth="1"/>
    <col min="11028" max="11256" width="14.7109375" style="1978"/>
    <col min="11257" max="11257" width="5.7109375" style="1978" customWidth="1"/>
    <col min="11258" max="11258" width="37.140625" style="1978" customWidth="1"/>
    <col min="11259" max="11259" width="8.7109375" style="1978" customWidth="1"/>
    <col min="11260" max="11260" width="1.7109375" style="1978" customWidth="1"/>
    <col min="11261" max="11261" width="9.7109375" style="1978" customWidth="1"/>
    <col min="11262" max="11262" width="2.7109375" style="1978" customWidth="1"/>
    <col min="11263" max="11263" width="12" style="1978" customWidth="1"/>
    <col min="11264" max="11264" width="2.7109375" style="1978" customWidth="1"/>
    <col min="11265" max="11265" width="12.42578125" style="1978" customWidth="1"/>
    <col min="11266" max="11266" width="2.7109375" style="1978" customWidth="1"/>
    <col min="11267" max="11268" width="14.140625" style="1978" customWidth="1"/>
    <col min="11269" max="11270" width="13.28515625" style="1978" customWidth="1"/>
    <col min="11271" max="11271" width="3.5703125" style="1978" customWidth="1"/>
    <col min="11272" max="11272" width="11.7109375" style="1978" customWidth="1"/>
    <col min="11273" max="11273" width="4.5703125" style="1978" bestFit="1" customWidth="1"/>
    <col min="11274" max="11274" width="12.140625" style="1978" bestFit="1" customWidth="1"/>
    <col min="11275" max="11275" width="2.7109375" style="1978" customWidth="1"/>
    <col min="11276" max="11276" width="12.140625" style="1978" bestFit="1" customWidth="1"/>
    <col min="11277" max="11277" width="16" style="1978" customWidth="1"/>
    <col min="11278" max="11278" width="12.5703125" style="1978" customWidth="1"/>
    <col min="11279" max="11279" width="14.5703125" style="1978" bestFit="1" customWidth="1"/>
    <col min="11280" max="11280" width="17.42578125" style="1978" customWidth="1"/>
    <col min="11281" max="11281" width="18.85546875" style="1978" customWidth="1"/>
    <col min="11282" max="11282" width="3.140625" style="1978" customWidth="1"/>
    <col min="11283" max="11283" width="14.85546875" style="1978" bestFit="1" customWidth="1"/>
    <col min="11284" max="11512" width="14.7109375" style="1978"/>
    <col min="11513" max="11513" width="5.7109375" style="1978" customWidth="1"/>
    <col min="11514" max="11514" width="37.140625" style="1978" customWidth="1"/>
    <col min="11515" max="11515" width="8.7109375" style="1978" customWidth="1"/>
    <col min="11516" max="11516" width="1.7109375" style="1978" customWidth="1"/>
    <col min="11517" max="11517" width="9.7109375" style="1978" customWidth="1"/>
    <col min="11518" max="11518" width="2.7109375" style="1978" customWidth="1"/>
    <col min="11519" max="11519" width="12" style="1978" customWidth="1"/>
    <col min="11520" max="11520" width="2.7109375" style="1978" customWidth="1"/>
    <col min="11521" max="11521" width="12.42578125" style="1978" customWidth="1"/>
    <col min="11522" max="11522" width="2.7109375" style="1978" customWidth="1"/>
    <col min="11523" max="11524" width="14.140625" style="1978" customWidth="1"/>
    <col min="11525" max="11526" width="13.28515625" style="1978" customWidth="1"/>
    <col min="11527" max="11527" width="3.5703125" style="1978" customWidth="1"/>
    <col min="11528" max="11528" width="11.7109375" style="1978" customWidth="1"/>
    <col min="11529" max="11529" width="4.5703125" style="1978" bestFit="1" customWidth="1"/>
    <col min="11530" max="11530" width="12.140625" style="1978" bestFit="1" customWidth="1"/>
    <col min="11531" max="11531" width="2.7109375" style="1978" customWidth="1"/>
    <col min="11532" max="11532" width="12.140625" style="1978" bestFit="1" customWidth="1"/>
    <col min="11533" max="11533" width="16" style="1978" customWidth="1"/>
    <col min="11534" max="11534" width="12.5703125" style="1978" customWidth="1"/>
    <col min="11535" max="11535" width="14.5703125" style="1978" bestFit="1" customWidth="1"/>
    <col min="11536" max="11536" width="17.42578125" style="1978" customWidth="1"/>
    <col min="11537" max="11537" width="18.85546875" style="1978" customWidth="1"/>
    <col min="11538" max="11538" width="3.140625" style="1978" customWidth="1"/>
    <col min="11539" max="11539" width="14.85546875" style="1978" bestFit="1" customWidth="1"/>
    <col min="11540" max="11768" width="14.7109375" style="1978"/>
    <col min="11769" max="11769" width="5.7109375" style="1978" customWidth="1"/>
    <col min="11770" max="11770" width="37.140625" style="1978" customWidth="1"/>
    <col min="11771" max="11771" width="8.7109375" style="1978" customWidth="1"/>
    <col min="11772" max="11772" width="1.7109375" style="1978" customWidth="1"/>
    <col min="11773" max="11773" width="9.7109375" style="1978" customWidth="1"/>
    <col min="11774" max="11774" width="2.7109375" style="1978" customWidth="1"/>
    <col min="11775" max="11775" width="12" style="1978" customWidth="1"/>
    <col min="11776" max="11776" width="2.7109375" style="1978" customWidth="1"/>
    <col min="11777" max="11777" width="12.42578125" style="1978" customWidth="1"/>
    <col min="11778" max="11778" width="2.7109375" style="1978" customWidth="1"/>
    <col min="11779" max="11780" width="14.140625" style="1978" customWidth="1"/>
    <col min="11781" max="11782" width="13.28515625" style="1978" customWidth="1"/>
    <col min="11783" max="11783" width="3.5703125" style="1978" customWidth="1"/>
    <col min="11784" max="11784" width="11.7109375" style="1978" customWidth="1"/>
    <col min="11785" max="11785" width="4.5703125" style="1978" bestFit="1" customWidth="1"/>
    <col min="11786" max="11786" width="12.140625" style="1978" bestFit="1" customWidth="1"/>
    <col min="11787" max="11787" width="2.7109375" style="1978" customWidth="1"/>
    <col min="11788" max="11788" width="12.140625" style="1978" bestFit="1" customWidth="1"/>
    <col min="11789" max="11789" width="16" style="1978" customWidth="1"/>
    <col min="11790" max="11790" width="12.5703125" style="1978" customWidth="1"/>
    <col min="11791" max="11791" width="14.5703125" style="1978" bestFit="1" customWidth="1"/>
    <col min="11792" max="11792" width="17.42578125" style="1978" customWidth="1"/>
    <col min="11793" max="11793" width="18.85546875" style="1978" customWidth="1"/>
    <col min="11794" max="11794" width="3.140625" style="1978" customWidth="1"/>
    <col min="11795" max="11795" width="14.85546875" style="1978" bestFit="1" customWidth="1"/>
    <col min="11796" max="12024" width="14.7109375" style="1978"/>
    <col min="12025" max="12025" width="5.7109375" style="1978" customWidth="1"/>
    <col min="12026" max="12026" width="37.140625" style="1978" customWidth="1"/>
    <col min="12027" max="12027" width="8.7109375" style="1978" customWidth="1"/>
    <col min="12028" max="12028" width="1.7109375" style="1978" customWidth="1"/>
    <col min="12029" max="12029" width="9.7109375" style="1978" customWidth="1"/>
    <col min="12030" max="12030" width="2.7109375" style="1978" customWidth="1"/>
    <col min="12031" max="12031" width="12" style="1978" customWidth="1"/>
    <col min="12032" max="12032" width="2.7109375" style="1978" customWidth="1"/>
    <col min="12033" max="12033" width="12.42578125" style="1978" customWidth="1"/>
    <col min="12034" max="12034" width="2.7109375" style="1978" customWidth="1"/>
    <col min="12035" max="12036" width="14.140625" style="1978" customWidth="1"/>
    <col min="12037" max="12038" width="13.28515625" style="1978" customWidth="1"/>
    <col min="12039" max="12039" width="3.5703125" style="1978" customWidth="1"/>
    <col min="12040" max="12040" width="11.7109375" style="1978" customWidth="1"/>
    <col min="12041" max="12041" width="4.5703125" style="1978" bestFit="1" customWidth="1"/>
    <col min="12042" max="12042" width="12.140625" style="1978" bestFit="1" customWidth="1"/>
    <col min="12043" max="12043" width="2.7109375" style="1978" customWidth="1"/>
    <col min="12044" max="12044" width="12.140625" style="1978" bestFit="1" customWidth="1"/>
    <col min="12045" max="12045" width="16" style="1978" customWidth="1"/>
    <col min="12046" max="12046" width="12.5703125" style="1978" customWidth="1"/>
    <col min="12047" max="12047" width="14.5703125" style="1978" bestFit="1" customWidth="1"/>
    <col min="12048" max="12048" width="17.42578125" style="1978" customWidth="1"/>
    <col min="12049" max="12049" width="18.85546875" style="1978" customWidth="1"/>
    <col min="12050" max="12050" width="3.140625" style="1978" customWidth="1"/>
    <col min="12051" max="12051" width="14.85546875" style="1978" bestFit="1" customWidth="1"/>
    <col min="12052" max="12280" width="14.7109375" style="1978"/>
    <col min="12281" max="12281" width="5.7109375" style="1978" customWidth="1"/>
    <col min="12282" max="12282" width="37.140625" style="1978" customWidth="1"/>
    <col min="12283" max="12283" width="8.7109375" style="1978" customWidth="1"/>
    <col min="12284" max="12284" width="1.7109375" style="1978" customWidth="1"/>
    <col min="12285" max="12285" width="9.7109375" style="1978" customWidth="1"/>
    <col min="12286" max="12286" width="2.7109375" style="1978" customWidth="1"/>
    <col min="12287" max="12287" width="12" style="1978" customWidth="1"/>
    <col min="12288" max="12288" width="2.7109375" style="1978" customWidth="1"/>
    <col min="12289" max="12289" width="12.42578125" style="1978" customWidth="1"/>
    <col min="12290" max="12290" width="2.7109375" style="1978" customWidth="1"/>
    <col min="12291" max="12292" width="14.140625" style="1978" customWidth="1"/>
    <col min="12293" max="12294" width="13.28515625" style="1978" customWidth="1"/>
    <col min="12295" max="12295" width="3.5703125" style="1978" customWidth="1"/>
    <col min="12296" max="12296" width="11.7109375" style="1978" customWidth="1"/>
    <col min="12297" max="12297" width="4.5703125" style="1978" bestFit="1" customWidth="1"/>
    <col min="12298" max="12298" width="12.140625" style="1978" bestFit="1" customWidth="1"/>
    <col min="12299" max="12299" width="2.7109375" style="1978" customWidth="1"/>
    <col min="12300" max="12300" width="12.140625" style="1978" bestFit="1" customWidth="1"/>
    <col min="12301" max="12301" width="16" style="1978" customWidth="1"/>
    <col min="12302" max="12302" width="12.5703125" style="1978" customWidth="1"/>
    <col min="12303" max="12303" width="14.5703125" style="1978" bestFit="1" customWidth="1"/>
    <col min="12304" max="12304" width="17.42578125" style="1978" customWidth="1"/>
    <col min="12305" max="12305" width="18.85546875" style="1978" customWidth="1"/>
    <col min="12306" max="12306" width="3.140625" style="1978" customWidth="1"/>
    <col min="12307" max="12307" width="14.85546875" style="1978" bestFit="1" customWidth="1"/>
    <col min="12308" max="12536" width="14.7109375" style="1978"/>
    <col min="12537" max="12537" width="5.7109375" style="1978" customWidth="1"/>
    <col min="12538" max="12538" width="37.140625" style="1978" customWidth="1"/>
    <col min="12539" max="12539" width="8.7109375" style="1978" customWidth="1"/>
    <col min="12540" max="12540" width="1.7109375" style="1978" customWidth="1"/>
    <col min="12541" max="12541" width="9.7109375" style="1978" customWidth="1"/>
    <col min="12542" max="12542" width="2.7109375" style="1978" customWidth="1"/>
    <col min="12543" max="12543" width="12" style="1978" customWidth="1"/>
    <col min="12544" max="12544" width="2.7109375" style="1978" customWidth="1"/>
    <col min="12545" max="12545" width="12.42578125" style="1978" customWidth="1"/>
    <col min="12546" max="12546" width="2.7109375" style="1978" customWidth="1"/>
    <col min="12547" max="12548" width="14.140625" style="1978" customWidth="1"/>
    <col min="12549" max="12550" width="13.28515625" style="1978" customWidth="1"/>
    <col min="12551" max="12551" width="3.5703125" style="1978" customWidth="1"/>
    <col min="12552" max="12552" width="11.7109375" style="1978" customWidth="1"/>
    <col min="12553" max="12553" width="4.5703125" style="1978" bestFit="1" customWidth="1"/>
    <col min="12554" max="12554" width="12.140625" style="1978" bestFit="1" customWidth="1"/>
    <col min="12555" max="12555" width="2.7109375" style="1978" customWidth="1"/>
    <col min="12556" max="12556" width="12.140625" style="1978" bestFit="1" customWidth="1"/>
    <col min="12557" max="12557" width="16" style="1978" customWidth="1"/>
    <col min="12558" max="12558" width="12.5703125" style="1978" customWidth="1"/>
    <col min="12559" max="12559" width="14.5703125" style="1978" bestFit="1" customWidth="1"/>
    <col min="12560" max="12560" width="17.42578125" style="1978" customWidth="1"/>
    <col min="12561" max="12561" width="18.85546875" style="1978" customWidth="1"/>
    <col min="12562" max="12562" width="3.140625" style="1978" customWidth="1"/>
    <col min="12563" max="12563" width="14.85546875" style="1978" bestFit="1" customWidth="1"/>
    <col min="12564" max="12792" width="14.7109375" style="1978"/>
    <col min="12793" max="12793" width="5.7109375" style="1978" customWidth="1"/>
    <col min="12794" max="12794" width="37.140625" style="1978" customWidth="1"/>
    <col min="12795" max="12795" width="8.7109375" style="1978" customWidth="1"/>
    <col min="12796" max="12796" width="1.7109375" style="1978" customWidth="1"/>
    <col min="12797" max="12797" width="9.7109375" style="1978" customWidth="1"/>
    <col min="12798" max="12798" width="2.7109375" style="1978" customWidth="1"/>
    <col min="12799" max="12799" width="12" style="1978" customWidth="1"/>
    <col min="12800" max="12800" width="2.7109375" style="1978" customWidth="1"/>
    <col min="12801" max="12801" width="12.42578125" style="1978" customWidth="1"/>
    <col min="12802" max="12802" width="2.7109375" style="1978" customWidth="1"/>
    <col min="12803" max="12804" width="14.140625" style="1978" customWidth="1"/>
    <col min="12805" max="12806" width="13.28515625" style="1978" customWidth="1"/>
    <col min="12807" max="12807" width="3.5703125" style="1978" customWidth="1"/>
    <col min="12808" max="12808" width="11.7109375" style="1978" customWidth="1"/>
    <col min="12809" max="12809" width="4.5703125" style="1978" bestFit="1" customWidth="1"/>
    <col min="12810" max="12810" width="12.140625" style="1978" bestFit="1" customWidth="1"/>
    <col min="12811" max="12811" width="2.7109375" style="1978" customWidth="1"/>
    <col min="12812" max="12812" width="12.140625" style="1978" bestFit="1" customWidth="1"/>
    <col min="12813" max="12813" width="16" style="1978" customWidth="1"/>
    <col min="12814" max="12814" width="12.5703125" style="1978" customWidth="1"/>
    <col min="12815" max="12815" width="14.5703125" style="1978" bestFit="1" customWidth="1"/>
    <col min="12816" max="12816" width="17.42578125" style="1978" customWidth="1"/>
    <col min="12817" max="12817" width="18.85546875" style="1978" customWidth="1"/>
    <col min="12818" max="12818" width="3.140625" style="1978" customWidth="1"/>
    <col min="12819" max="12819" width="14.85546875" style="1978" bestFit="1" customWidth="1"/>
    <col min="12820" max="13048" width="14.7109375" style="1978"/>
    <col min="13049" max="13049" width="5.7109375" style="1978" customWidth="1"/>
    <col min="13050" max="13050" width="37.140625" style="1978" customWidth="1"/>
    <col min="13051" max="13051" width="8.7109375" style="1978" customWidth="1"/>
    <col min="13052" max="13052" width="1.7109375" style="1978" customWidth="1"/>
    <col min="13053" max="13053" width="9.7109375" style="1978" customWidth="1"/>
    <col min="13054" max="13054" width="2.7109375" style="1978" customWidth="1"/>
    <col min="13055" max="13055" width="12" style="1978" customWidth="1"/>
    <col min="13056" max="13056" width="2.7109375" style="1978" customWidth="1"/>
    <col min="13057" max="13057" width="12.42578125" style="1978" customWidth="1"/>
    <col min="13058" max="13058" width="2.7109375" style="1978" customWidth="1"/>
    <col min="13059" max="13060" width="14.140625" style="1978" customWidth="1"/>
    <col min="13061" max="13062" width="13.28515625" style="1978" customWidth="1"/>
    <col min="13063" max="13063" width="3.5703125" style="1978" customWidth="1"/>
    <col min="13064" max="13064" width="11.7109375" style="1978" customWidth="1"/>
    <col min="13065" max="13065" width="4.5703125" style="1978" bestFit="1" customWidth="1"/>
    <col min="13066" max="13066" width="12.140625" style="1978" bestFit="1" customWidth="1"/>
    <col min="13067" max="13067" width="2.7109375" style="1978" customWidth="1"/>
    <col min="13068" max="13068" width="12.140625" style="1978" bestFit="1" customWidth="1"/>
    <col min="13069" max="13069" width="16" style="1978" customWidth="1"/>
    <col min="13070" max="13070" width="12.5703125" style="1978" customWidth="1"/>
    <col min="13071" max="13071" width="14.5703125" style="1978" bestFit="1" customWidth="1"/>
    <col min="13072" max="13072" width="17.42578125" style="1978" customWidth="1"/>
    <col min="13073" max="13073" width="18.85546875" style="1978" customWidth="1"/>
    <col min="13074" max="13074" width="3.140625" style="1978" customWidth="1"/>
    <col min="13075" max="13075" width="14.85546875" style="1978" bestFit="1" customWidth="1"/>
    <col min="13076" max="13304" width="14.7109375" style="1978"/>
    <col min="13305" max="13305" width="5.7109375" style="1978" customWidth="1"/>
    <col min="13306" max="13306" width="37.140625" style="1978" customWidth="1"/>
    <col min="13307" max="13307" width="8.7109375" style="1978" customWidth="1"/>
    <col min="13308" max="13308" width="1.7109375" style="1978" customWidth="1"/>
    <col min="13309" max="13309" width="9.7109375" style="1978" customWidth="1"/>
    <col min="13310" max="13310" width="2.7109375" style="1978" customWidth="1"/>
    <col min="13311" max="13311" width="12" style="1978" customWidth="1"/>
    <col min="13312" max="13312" width="2.7109375" style="1978" customWidth="1"/>
    <col min="13313" max="13313" width="12.42578125" style="1978" customWidth="1"/>
    <col min="13314" max="13314" width="2.7109375" style="1978" customWidth="1"/>
    <col min="13315" max="13316" width="14.140625" style="1978" customWidth="1"/>
    <col min="13317" max="13318" width="13.28515625" style="1978" customWidth="1"/>
    <col min="13319" max="13319" width="3.5703125" style="1978" customWidth="1"/>
    <col min="13320" max="13320" width="11.7109375" style="1978" customWidth="1"/>
    <col min="13321" max="13321" width="4.5703125" style="1978" bestFit="1" customWidth="1"/>
    <col min="13322" max="13322" width="12.140625" style="1978" bestFit="1" customWidth="1"/>
    <col min="13323" max="13323" width="2.7109375" style="1978" customWidth="1"/>
    <col min="13324" max="13324" width="12.140625" style="1978" bestFit="1" customWidth="1"/>
    <col min="13325" max="13325" width="16" style="1978" customWidth="1"/>
    <col min="13326" max="13326" width="12.5703125" style="1978" customWidth="1"/>
    <col min="13327" max="13327" width="14.5703125" style="1978" bestFit="1" customWidth="1"/>
    <col min="13328" max="13328" width="17.42578125" style="1978" customWidth="1"/>
    <col min="13329" max="13329" width="18.85546875" style="1978" customWidth="1"/>
    <col min="13330" max="13330" width="3.140625" style="1978" customWidth="1"/>
    <col min="13331" max="13331" width="14.85546875" style="1978" bestFit="1" customWidth="1"/>
    <col min="13332" max="13560" width="14.7109375" style="1978"/>
    <col min="13561" max="13561" width="5.7109375" style="1978" customWidth="1"/>
    <col min="13562" max="13562" width="37.140625" style="1978" customWidth="1"/>
    <col min="13563" max="13563" width="8.7109375" style="1978" customWidth="1"/>
    <col min="13564" max="13564" width="1.7109375" style="1978" customWidth="1"/>
    <col min="13565" max="13565" width="9.7109375" style="1978" customWidth="1"/>
    <col min="13566" max="13566" width="2.7109375" style="1978" customWidth="1"/>
    <col min="13567" max="13567" width="12" style="1978" customWidth="1"/>
    <col min="13568" max="13568" width="2.7109375" style="1978" customWidth="1"/>
    <col min="13569" max="13569" width="12.42578125" style="1978" customWidth="1"/>
    <col min="13570" max="13570" width="2.7109375" style="1978" customWidth="1"/>
    <col min="13571" max="13572" width="14.140625" style="1978" customWidth="1"/>
    <col min="13573" max="13574" width="13.28515625" style="1978" customWidth="1"/>
    <col min="13575" max="13575" width="3.5703125" style="1978" customWidth="1"/>
    <col min="13576" max="13576" width="11.7109375" style="1978" customWidth="1"/>
    <col min="13577" max="13577" width="4.5703125" style="1978" bestFit="1" customWidth="1"/>
    <col min="13578" max="13578" width="12.140625" style="1978" bestFit="1" customWidth="1"/>
    <col min="13579" max="13579" width="2.7109375" style="1978" customWidth="1"/>
    <col min="13580" max="13580" width="12.140625" style="1978" bestFit="1" customWidth="1"/>
    <col min="13581" max="13581" width="16" style="1978" customWidth="1"/>
    <col min="13582" max="13582" width="12.5703125" style="1978" customWidth="1"/>
    <col min="13583" max="13583" width="14.5703125" style="1978" bestFit="1" customWidth="1"/>
    <col min="13584" max="13584" width="17.42578125" style="1978" customWidth="1"/>
    <col min="13585" max="13585" width="18.85546875" style="1978" customWidth="1"/>
    <col min="13586" max="13586" width="3.140625" style="1978" customWidth="1"/>
    <col min="13587" max="13587" width="14.85546875" style="1978" bestFit="1" customWidth="1"/>
    <col min="13588" max="13816" width="14.7109375" style="1978"/>
    <col min="13817" max="13817" width="5.7109375" style="1978" customWidth="1"/>
    <col min="13818" max="13818" width="37.140625" style="1978" customWidth="1"/>
    <col min="13819" max="13819" width="8.7109375" style="1978" customWidth="1"/>
    <col min="13820" max="13820" width="1.7109375" style="1978" customWidth="1"/>
    <col min="13821" max="13821" width="9.7109375" style="1978" customWidth="1"/>
    <col min="13822" max="13822" width="2.7109375" style="1978" customWidth="1"/>
    <col min="13823" max="13823" width="12" style="1978" customWidth="1"/>
    <col min="13824" max="13824" width="2.7109375" style="1978" customWidth="1"/>
    <col min="13825" max="13825" width="12.42578125" style="1978" customWidth="1"/>
    <col min="13826" max="13826" width="2.7109375" style="1978" customWidth="1"/>
    <col min="13827" max="13828" width="14.140625" style="1978" customWidth="1"/>
    <col min="13829" max="13830" width="13.28515625" style="1978" customWidth="1"/>
    <col min="13831" max="13831" width="3.5703125" style="1978" customWidth="1"/>
    <col min="13832" max="13832" width="11.7109375" style="1978" customWidth="1"/>
    <col min="13833" max="13833" width="4.5703125" style="1978" bestFit="1" customWidth="1"/>
    <col min="13834" max="13834" width="12.140625" style="1978" bestFit="1" customWidth="1"/>
    <col min="13835" max="13835" width="2.7109375" style="1978" customWidth="1"/>
    <col min="13836" max="13836" width="12.140625" style="1978" bestFit="1" customWidth="1"/>
    <col min="13837" max="13837" width="16" style="1978" customWidth="1"/>
    <col min="13838" max="13838" width="12.5703125" style="1978" customWidth="1"/>
    <col min="13839" max="13839" width="14.5703125" style="1978" bestFit="1" customWidth="1"/>
    <col min="13840" max="13840" width="17.42578125" style="1978" customWidth="1"/>
    <col min="13841" max="13841" width="18.85546875" style="1978" customWidth="1"/>
    <col min="13842" max="13842" width="3.140625" style="1978" customWidth="1"/>
    <col min="13843" max="13843" width="14.85546875" style="1978" bestFit="1" customWidth="1"/>
    <col min="13844" max="14072" width="14.7109375" style="1978"/>
    <col min="14073" max="14073" width="5.7109375" style="1978" customWidth="1"/>
    <col min="14074" max="14074" width="37.140625" style="1978" customWidth="1"/>
    <col min="14075" max="14075" width="8.7109375" style="1978" customWidth="1"/>
    <col min="14076" max="14076" width="1.7109375" style="1978" customWidth="1"/>
    <col min="14077" max="14077" width="9.7109375" style="1978" customWidth="1"/>
    <col min="14078" max="14078" width="2.7109375" style="1978" customWidth="1"/>
    <col min="14079" max="14079" width="12" style="1978" customWidth="1"/>
    <col min="14080" max="14080" width="2.7109375" style="1978" customWidth="1"/>
    <col min="14081" max="14081" width="12.42578125" style="1978" customWidth="1"/>
    <col min="14082" max="14082" width="2.7109375" style="1978" customWidth="1"/>
    <col min="14083" max="14084" width="14.140625" style="1978" customWidth="1"/>
    <col min="14085" max="14086" width="13.28515625" style="1978" customWidth="1"/>
    <col min="14087" max="14087" width="3.5703125" style="1978" customWidth="1"/>
    <col min="14088" max="14088" width="11.7109375" style="1978" customWidth="1"/>
    <col min="14089" max="14089" width="4.5703125" style="1978" bestFit="1" customWidth="1"/>
    <col min="14090" max="14090" width="12.140625" style="1978" bestFit="1" customWidth="1"/>
    <col min="14091" max="14091" width="2.7109375" style="1978" customWidth="1"/>
    <col min="14092" max="14092" width="12.140625" style="1978" bestFit="1" customWidth="1"/>
    <col min="14093" max="14093" width="16" style="1978" customWidth="1"/>
    <col min="14094" max="14094" width="12.5703125" style="1978" customWidth="1"/>
    <col min="14095" max="14095" width="14.5703125" style="1978" bestFit="1" customWidth="1"/>
    <col min="14096" max="14096" width="17.42578125" style="1978" customWidth="1"/>
    <col min="14097" max="14097" width="18.85546875" style="1978" customWidth="1"/>
    <col min="14098" max="14098" width="3.140625" style="1978" customWidth="1"/>
    <col min="14099" max="14099" width="14.85546875" style="1978" bestFit="1" customWidth="1"/>
    <col min="14100" max="14328" width="14.7109375" style="1978"/>
    <col min="14329" max="14329" width="5.7109375" style="1978" customWidth="1"/>
    <col min="14330" max="14330" width="37.140625" style="1978" customWidth="1"/>
    <col min="14331" max="14331" width="8.7109375" style="1978" customWidth="1"/>
    <col min="14332" max="14332" width="1.7109375" style="1978" customWidth="1"/>
    <col min="14333" max="14333" width="9.7109375" style="1978" customWidth="1"/>
    <col min="14334" max="14334" width="2.7109375" style="1978" customWidth="1"/>
    <col min="14335" max="14335" width="12" style="1978" customWidth="1"/>
    <col min="14336" max="14336" width="2.7109375" style="1978" customWidth="1"/>
    <col min="14337" max="14337" width="12.42578125" style="1978" customWidth="1"/>
    <col min="14338" max="14338" width="2.7109375" style="1978" customWidth="1"/>
    <col min="14339" max="14340" width="14.140625" style="1978" customWidth="1"/>
    <col min="14341" max="14342" width="13.28515625" style="1978" customWidth="1"/>
    <col min="14343" max="14343" width="3.5703125" style="1978" customWidth="1"/>
    <col min="14344" max="14344" width="11.7109375" style="1978" customWidth="1"/>
    <col min="14345" max="14345" width="4.5703125" style="1978" bestFit="1" customWidth="1"/>
    <col min="14346" max="14346" width="12.140625" style="1978" bestFit="1" customWidth="1"/>
    <col min="14347" max="14347" width="2.7109375" style="1978" customWidth="1"/>
    <col min="14348" max="14348" width="12.140625" style="1978" bestFit="1" customWidth="1"/>
    <col min="14349" max="14349" width="16" style="1978" customWidth="1"/>
    <col min="14350" max="14350" width="12.5703125" style="1978" customWidth="1"/>
    <col min="14351" max="14351" width="14.5703125" style="1978" bestFit="1" customWidth="1"/>
    <col min="14352" max="14352" width="17.42578125" style="1978" customWidth="1"/>
    <col min="14353" max="14353" width="18.85546875" style="1978" customWidth="1"/>
    <col min="14354" max="14354" width="3.140625" style="1978" customWidth="1"/>
    <col min="14355" max="14355" width="14.85546875" style="1978" bestFit="1" customWidth="1"/>
    <col min="14356" max="14584" width="14.7109375" style="1978"/>
    <col min="14585" max="14585" width="5.7109375" style="1978" customWidth="1"/>
    <col min="14586" max="14586" width="37.140625" style="1978" customWidth="1"/>
    <col min="14587" max="14587" width="8.7109375" style="1978" customWidth="1"/>
    <col min="14588" max="14588" width="1.7109375" style="1978" customWidth="1"/>
    <col min="14589" max="14589" width="9.7109375" style="1978" customWidth="1"/>
    <col min="14590" max="14590" width="2.7109375" style="1978" customWidth="1"/>
    <col min="14591" max="14591" width="12" style="1978" customWidth="1"/>
    <col min="14592" max="14592" width="2.7109375" style="1978" customWidth="1"/>
    <col min="14593" max="14593" width="12.42578125" style="1978" customWidth="1"/>
    <col min="14594" max="14594" width="2.7109375" style="1978" customWidth="1"/>
    <col min="14595" max="14596" width="14.140625" style="1978" customWidth="1"/>
    <col min="14597" max="14598" width="13.28515625" style="1978" customWidth="1"/>
    <col min="14599" max="14599" width="3.5703125" style="1978" customWidth="1"/>
    <col min="14600" max="14600" width="11.7109375" style="1978" customWidth="1"/>
    <col min="14601" max="14601" width="4.5703125" style="1978" bestFit="1" customWidth="1"/>
    <col min="14602" max="14602" width="12.140625" style="1978" bestFit="1" customWidth="1"/>
    <col min="14603" max="14603" width="2.7109375" style="1978" customWidth="1"/>
    <col min="14604" max="14604" width="12.140625" style="1978" bestFit="1" customWidth="1"/>
    <col min="14605" max="14605" width="16" style="1978" customWidth="1"/>
    <col min="14606" max="14606" width="12.5703125" style="1978" customWidth="1"/>
    <col min="14607" max="14607" width="14.5703125" style="1978" bestFit="1" customWidth="1"/>
    <col min="14608" max="14608" width="17.42578125" style="1978" customWidth="1"/>
    <col min="14609" max="14609" width="18.85546875" style="1978" customWidth="1"/>
    <col min="14610" max="14610" width="3.140625" style="1978" customWidth="1"/>
    <col min="14611" max="14611" width="14.85546875" style="1978" bestFit="1" customWidth="1"/>
    <col min="14612" max="14840" width="14.7109375" style="1978"/>
    <col min="14841" max="14841" width="5.7109375" style="1978" customWidth="1"/>
    <col min="14842" max="14842" width="37.140625" style="1978" customWidth="1"/>
    <col min="14843" max="14843" width="8.7109375" style="1978" customWidth="1"/>
    <col min="14844" max="14844" width="1.7109375" style="1978" customWidth="1"/>
    <col min="14845" max="14845" width="9.7109375" style="1978" customWidth="1"/>
    <col min="14846" max="14846" width="2.7109375" style="1978" customWidth="1"/>
    <col min="14847" max="14847" width="12" style="1978" customWidth="1"/>
    <col min="14848" max="14848" width="2.7109375" style="1978" customWidth="1"/>
    <col min="14849" max="14849" width="12.42578125" style="1978" customWidth="1"/>
    <col min="14850" max="14850" width="2.7109375" style="1978" customWidth="1"/>
    <col min="14851" max="14852" width="14.140625" style="1978" customWidth="1"/>
    <col min="14853" max="14854" width="13.28515625" style="1978" customWidth="1"/>
    <col min="14855" max="14855" width="3.5703125" style="1978" customWidth="1"/>
    <col min="14856" max="14856" width="11.7109375" style="1978" customWidth="1"/>
    <col min="14857" max="14857" width="4.5703125" style="1978" bestFit="1" customWidth="1"/>
    <col min="14858" max="14858" width="12.140625" style="1978" bestFit="1" customWidth="1"/>
    <col min="14859" max="14859" width="2.7109375" style="1978" customWidth="1"/>
    <col min="14860" max="14860" width="12.140625" style="1978" bestFit="1" customWidth="1"/>
    <col min="14861" max="14861" width="16" style="1978" customWidth="1"/>
    <col min="14862" max="14862" width="12.5703125" style="1978" customWidth="1"/>
    <col min="14863" max="14863" width="14.5703125" style="1978" bestFit="1" customWidth="1"/>
    <col min="14864" max="14864" width="17.42578125" style="1978" customWidth="1"/>
    <col min="14865" max="14865" width="18.85546875" style="1978" customWidth="1"/>
    <col min="14866" max="14866" width="3.140625" style="1978" customWidth="1"/>
    <col min="14867" max="14867" width="14.85546875" style="1978" bestFit="1" customWidth="1"/>
    <col min="14868" max="15096" width="14.7109375" style="1978"/>
    <col min="15097" max="15097" width="5.7109375" style="1978" customWidth="1"/>
    <col min="15098" max="15098" width="37.140625" style="1978" customWidth="1"/>
    <col min="15099" max="15099" width="8.7109375" style="1978" customWidth="1"/>
    <col min="15100" max="15100" width="1.7109375" style="1978" customWidth="1"/>
    <col min="15101" max="15101" width="9.7109375" style="1978" customWidth="1"/>
    <col min="15102" max="15102" width="2.7109375" style="1978" customWidth="1"/>
    <col min="15103" max="15103" width="12" style="1978" customWidth="1"/>
    <col min="15104" max="15104" width="2.7109375" style="1978" customWidth="1"/>
    <col min="15105" max="15105" width="12.42578125" style="1978" customWidth="1"/>
    <col min="15106" max="15106" width="2.7109375" style="1978" customWidth="1"/>
    <col min="15107" max="15108" width="14.140625" style="1978" customWidth="1"/>
    <col min="15109" max="15110" width="13.28515625" style="1978" customWidth="1"/>
    <col min="15111" max="15111" width="3.5703125" style="1978" customWidth="1"/>
    <col min="15112" max="15112" width="11.7109375" style="1978" customWidth="1"/>
    <col min="15113" max="15113" width="4.5703125" style="1978" bestFit="1" customWidth="1"/>
    <col min="15114" max="15114" width="12.140625" style="1978" bestFit="1" customWidth="1"/>
    <col min="15115" max="15115" width="2.7109375" style="1978" customWidth="1"/>
    <col min="15116" max="15116" width="12.140625" style="1978" bestFit="1" customWidth="1"/>
    <col min="15117" max="15117" width="16" style="1978" customWidth="1"/>
    <col min="15118" max="15118" width="12.5703125" style="1978" customWidth="1"/>
    <col min="15119" max="15119" width="14.5703125" style="1978" bestFit="1" customWidth="1"/>
    <col min="15120" max="15120" width="17.42578125" style="1978" customWidth="1"/>
    <col min="15121" max="15121" width="18.85546875" style="1978" customWidth="1"/>
    <col min="15122" max="15122" width="3.140625" style="1978" customWidth="1"/>
    <col min="15123" max="15123" width="14.85546875" style="1978" bestFit="1" customWidth="1"/>
    <col min="15124" max="15352" width="14.7109375" style="1978"/>
    <col min="15353" max="15353" width="5.7109375" style="1978" customWidth="1"/>
    <col min="15354" max="15354" width="37.140625" style="1978" customWidth="1"/>
    <col min="15355" max="15355" width="8.7109375" style="1978" customWidth="1"/>
    <col min="15356" max="15356" width="1.7109375" style="1978" customWidth="1"/>
    <col min="15357" max="15357" width="9.7109375" style="1978" customWidth="1"/>
    <col min="15358" max="15358" width="2.7109375" style="1978" customWidth="1"/>
    <col min="15359" max="15359" width="12" style="1978" customWidth="1"/>
    <col min="15360" max="15360" width="2.7109375" style="1978" customWidth="1"/>
    <col min="15361" max="15361" width="12.42578125" style="1978" customWidth="1"/>
    <col min="15362" max="15362" width="2.7109375" style="1978" customWidth="1"/>
    <col min="15363" max="15364" width="14.140625" style="1978" customWidth="1"/>
    <col min="15365" max="15366" width="13.28515625" style="1978" customWidth="1"/>
    <col min="15367" max="15367" width="3.5703125" style="1978" customWidth="1"/>
    <col min="15368" max="15368" width="11.7109375" style="1978" customWidth="1"/>
    <col min="15369" max="15369" width="4.5703125" style="1978" bestFit="1" customWidth="1"/>
    <col min="15370" max="15370" width="12.140625" style="1978" bestFit="1" customWidth="1"/>
    <col min="15371" max="15371" width="2.7109375" style="1978" customWidth="1"/>
    <col min="15372" max="15372" width="12.140625" style="1978" bestFit="1" customWidth="1"/>
    <col min="15373" max="15373" width="16" style="1978" customWidth="1"/>
    <col min="15374" max="15374" width="12.5703125" style="1978" customWidth="1"/>
    <col min="15375" max="15375" width="14.5703125" style="1978" bestFit="1" customWidth="1"/>
    <col min="15376" max="15376" width="17.42578125" style="1978" customWidth="1"/>
    <col min="15377" max="15377" width="18.85546875" style="1978" customWidth="1"/>
    <col min="15378" max="15378" width="3.140625" style="1978" customWidth="1"/>
    <col min="15379" max="15379" width="14.85546875" style="1978" bestFit="1" customWidth="1"/>
    <col min="15380" max="15608" width="14.7109375" style="1978"/>
    <col min="15609" max="15609" width="5.7109375" style="1978" customWidth="1"/>
    <col min="15610" max="15610" width="37.140625" style="1978" customWidth="1"/>
    <col min="15611" max="15611" width="8.7109375" style="1978" customWidth="1"/>
    <col min="15612" max="15612" width="1.7109375" style="1978" customWidth="1"/>
    <col min="15613" max="15613" width="9.7109375" style="1978" customWidth="1"/>
    <col min="15614" max="15614" width="2.7109375" style="1978" customWidth="1"/>
    <col min="15615" max="15615" width="12" style="1978" customWidth="1"/>
    <col min="15616" max="15616" width="2.7109375" style="1978" customWidth="1"/>
    <col min="15617" max="15617" width="12.42578125" style="1978" customWidth="1"/>
    <col min="15618" max="15618" width="2.7109375" style="1978" customWidth="1"/>
    <col min="15619" max="15620" width="14.140625" style="1978" customWidth="1"/>
    <col min="15621" max="15622" width="13.28515625" style="1978" customWidth="1"/>
    <col min="15623" max="15623" width="3.5703125" style="1978" customWidth="1"/>
    <col min="15624" max="15624" width="11.7109375" style="1978" customWidth="1"/>
    <col min="15625" max="15625" width="4.5703125" style="1978" bestFit="1" customWidth="1"/>
    <col min="15626" max="15626" width="12.140625" style="1978" bestFit="1" customWidth="1"/>
    <col min="15627" max="15627" width="2.7109375" style="1978" customWidth="1"/>
    <col min="15628" max="15628" width="12.140625" style="1978" bestFit="1" customWidth="1"/>
    <col min="15629" max="15629" width="16" style="1978" customWidth="1"/>
    <col min="15630" max="15630" width="12.5703125" style="1978" customWidth="1"/>
    <col min="15631" max="15631" width="14.5703125" style="1978" bestFit="1" customWidth="1"/>
    <col min="15632" max="15632" width="17.42578125" style="1978" customWidth="1"/>
    <col min="15633" max="15633" width="18.85546875" style="1978" customWidth="1"/>
    <col min="15634" max="15634" width="3.140625" style="1978" customWidth="1"/>
    <col min="15635" max="15635" width="14.85546875" style="1978" bestFit="1" customWidth="1"/>
    <col min="15636" max="15864" width="14.7109375" style="1978"/>
    <col min="15865" max="15865" width="5.7109375" style="1978" customWidth="1"/>
    <col min="15866" max="15866" width="37.140625" style="1978" customWidth="1"/>
    <col min="15867" max="15867" width="8.7109375" style="1978" customWidth="1"/>
    <col min="15868" max="15868" width="1.7109375" style="1978" customWidth="1"/>
    <col min="15869" max="15869" width="9.7109375" style="1978" customWidth="1"/>
    <col min="15870" max="15870" width="2.7109375" style="1978" customWidth="1"/>
    <col min="15871" max="15871" width="12" style="1978" customWidth="1"/>
    <col min="15872" max="15872" width="2.7109375" style="1978" customWidth="1"/>
    <col min="15873" max="15873" width="12.42578125" style="1978" customWidth="1"/>
    <col min="15874" max="15874" width="2.7109375" style="1978" customWidth="1"/>
    <col min="15875" max="15876" width="14.140625" style="1978" customWidth="1"/>
    <col min="15877" max="15878" width="13.28515625" style="1978" customWidth="1"/>
    <col min="15879" max="15879" width="3.5703125" style="1978" customWidth="1"/>
    <col min="15880" max="15880" width="11.7109375" style="1978" customWidth="1"/>
    <col min="15881" max="15881" width="4.5703125" style="1978" bestFit="1" customWidth="1"/>
    <col min="15882" max="15882" width="12.140625" style="1978" bestFit="1" customWidth="1"/>
    <col min="15883" max="15883" width="2.7109375" style="1978" customWidth="1"/>
    <col min="15884" max="15884" width="12.140625" style="1978" bestFit="1" customWidth="1"/>
    <col min="15885" max="15885" width="16" style="1978" customWidth="1"/>
    <col min="15886" max="15886" width="12.5703125" style="1978" customWidth="1"/>
    <col min="15887" max="15887" width="14.5703125" style="1978" bestFit="1" customWidth="1"/>
    <col min="15888" max="15888" width="17.42578125" style="1978" customWidth="1"/>
    <col min="15889" max="15889" width="18.85546875" style="1978" customWidth="1"/>
    <col min="15890" max="15890" width="3.140625" style="1978" customWidth="1"/>
    <col min="15891" max="15891" width="14.85546875" style="1978" bestFit="1" customWidth="1"/>
    <col min="15892" max="16120" width="14.7109375" style="1978"/>
    <col min="16121" max="16121" width="5.7109375" style="1978" customWidth="1"/>
    <col min="16122" max="16122" width="37.140625" style="1978" customWidth="1"/>
    <col min="16123" max="16123" width="8.7109375" style="1978" customWidth="1"/>
    <col min="16124" max="16124" width="1.7109375" style="1978" customWidth="1"/>
    <col min="16125" max="16125" width="9.7109375" style="1978" customWidth="1"/>
    <col min="16126" max="16126" width="2.7109375" style="1978" customWidth="1"/>
    <col min="16127" max="16127" width="12" style="1978" customWidth="1"/>
    <col min="16128" max="16128" width="2.7109375" style="1978" customWidth="1"/>
    <col min="16129" max="16129" width="12.42578125" style="1978" customWidth="1"/>
    <col min="16130" max="16130" width="2.7109375" style="1978" customWidth="1"/>
    <col min="16131" max="16132" width="14.140625" style="1978" customWidth="1"/>
    <col min="16133" max="16134" width="13.28515625" style="1978" customWidth="1"/>
    <col min="16135" max="16135" width="3.5703125" style="1978" customWidth="1"/>
    <col min="16136" max="16136" width="11.7109375" style="1978" customWidth="1"/>
    <col min="16137" max="16137" width="4.5703125" style="1978" bestFit="1" customWidth="1"/>
    <col min="16138" max="16138" width="12.140625" style="1978" bestFit="1" customWidth="1"/>
    <col min="16139" max="16139" width="2.7109375" style="1978" customWidth="1"/>
    <col min="16140" max="16140" width="12.140625" style="1978" bestFit="1" customWidth="1"/>
    <col min="16141" max="16141" width="16" style="1978" customWidth="1"/>
    <col min="16142" max="16142" width="12.5703125" style="1978" customWidth="1"/>
    <col min="16143" max="16143" width="14.5703125" style="1978" bestFit="1" customWidth="1"/>
    <col min="16144" max="16144" width="17.42578125" style="1978" customWidth="1"/>
    <col min="16145" max="16145" width="18.85546875" style="1978" customWidth="1"/>
    <col min="16146" max="16146" width="3.140625" style="1978" customWidth="1"/>
    <col min="16147" max="16147" width="14.85546875" style="1978" bestFit="1" customWidth="1"/>
    <col min="16148" max="16384" width="14.7109375" style="1978"/>
  </cols>
  <sheetData>
    <row r="1" spans="1:19" x14ac:dyDescent="0.2">
      <c r="A1" s="2646" t="s">
        <v>2131</v>
      </c>
      <c r="B1" s="2646"/>
      <c r="C1" s="2646"/>
      <c r="D1" s="2646"/>
      <c r="E1" s="2646"/>
      <c r="F1" s="2646"/>
      <c r="G1" s="2646"/>
      <c r="H1" s="2646"/>
      <c r="I1" s="2646"/>
      <c r="J1" s="2646"/>
      <c r="K1" s="2646"/>
      <c r="L1" s="2646"/>
      <c r="M1" s="2646"/>
      <c r="N1" s="2646"/>
      <c r="O1" s="2646"/>
      <c r="P1" s="2646"/>
      <c r="Q1" s="2646"/>
      <c r="R1" s="2646"/>
      <c r="S1" s="2646"/>
    </row>
    <row r="2" spans="1:19" x14ac:dyDescent="0.2">
      <c r="A2" s="2646" t="s">
        <v>2070</v>
      </c>
      <c r="B2" s="2646"/>
      <c r="C2" s="2646"/>
      <c r="D2" s="2646"/>
      <c r="E2" s="2646"/>
      <c r="F2" s="2646"/>
      <c r="G2" s="2646"/>
      <c r="H2" s="2646"/>
      <c r="I2" s="2646"/>
      <c r="J2" s="2646"/>
      <c r="K2" s="2646"/>
      <c r="L2" s="2646"/>
      <c r="M2" s="2646"/>
      <c r="N2" s="2646"/>
      <c r="O2" s="2646"/>
      <c r="P2" s="2646"/>
      <c r="Q2" s="2646"/>
      <c r="R2" s="2646"/>
      <c r="S2" s="2646"/>
    </row>
    <row r="3" spans="1:19" x14ac:dyDescent="0.2">
      <c r="A3" s="2646" t="s">
        <v>1219</v>
      </c>
      <c r="B3" s="2646"/>
      <c r="C3" s="2646"/>
      <c r="D3" s="2646"/>
      <c r="E3" s="2646"/>
      <c r="F3" s="2646"/>
      <c r="G3" s="2646"/>
      <c r="H3" s="2646"/>
      <c r="I3" s="2646"/>
      <c r="J3" s="2646"/>
      <c r="K3" s="2646"/>
      <c r="L3" s="2646"/>
      <c r="M3" s="2646"/>
      <c r="N3" s="2646"/>
      <c r="O3" s="2646"/>
      <c r="P3" s="2646"/>
      <c r="Q3" s="2646"/>
      <c r="R3" s="2646"/>
      <c r="S3" s="2646"/>
    </row>
    <row r="4" spans="1:19" x14ac:dyDescent="0.2">
      <c r="A4" s="2647" t="s">
        <v>2132</v>
      </c>
      <c r="B4" s="2647"/>
      <c r="C4" s="2647"/>
      <c r="D4" s="2647"/>
      <c r="E4" s="2647"/>
      <c r="F4" s="2647"/>
      <c r="G4" s="2647"/>
      <c r="H4" s="2647"/>
      <c r="I4" s="2647"/>
      <c r="J4" s="2647"/>
      <c r="K4" s="2647"/>
      <c r="L4" s="2647"/>
      <c r="M4" s="2647"/>
      <c r="N4" s="2647"/>
      <c r="O4" s="2647"/>
      <c r="P4" s="2647"/>
      <c r="Q4" s="2647"/>
      <c r="R4" s="2647"/>
      <c r="S4" s="2647"/>
    </row>
    <row r="5" spans="1:19" x14ac:dyDescent="0.2">
      <c r="A5" s="1979"/>
      <c r="B5" s="1980"/>
      <c r="C5" s="1979"/>
      <c r="D5" s="1979"/>
      <c r="E5" s="1979"/>
      <c r="F5" s="1979"/>
      <c r="G5" s="1981"/>
      <c r="H5" s="1982"/>
      <c r="I5" s="1981"/>
      <c r="J5" s="1983"/>
      <c r="K5" s="2648" t="s">
        <v>2133</v>
      </c>
      <c r="L5" s="2648"/>
      <c r="M5" s="2648"/>
      <c r="N5" s="2648"/>
      <c r="O5" s="1982"/>
      <c r="P5" s="1982"/>
      <c r="Q5" s="1983"/>
      <c r="R5" s="1982"/>
      <c r="S5" s="1982"/>
    </row>
    <row r="6" spans="1:19" ht="15.75" customHeight="1" x14ac:dyDescent="0.2">
      <c r="A6" s="1983"/>
      <c r="B6" s="1981"/>
      <c r="C6" s="1982"/>
      <c r="D6" s="1982"/>
      <c r="E6" s="1984" t="s">
        <v>2134</v>
      </c>
      <c r="F6" s="1983"/>
      <c r="G6" s="2649" t="s">
        <v>2135</v>
      </c>
      <c r="H6" s="2649"/>
      <c r="I6" s="2649"/>
      <c r="J6" s="1984"/>
      <c r="L6" s="1984" t="str">
        <f>K7</f>
        <v xml:space="preserve">Prior to </v>
      </c>
      <c r="N6" s="1984" t="str">
        <f>M7</f>
        <v>7/01/18</v>
      </c>
      <c r="O6" s="1982"/>
      <c r="P6" s="1982"/>
      <c r="Q6" s="1983"/>
      <c r="R6" s="1982"/>
      <c r="S6" s="1982"/>
    </row>
    <row r="7" spans="1:19" ht="15.75" customHeight="1" x14ac:dyDescent="0.2">
      <c r="A7" s="1985"/>
      <c r="B7" s="1986"/>
      <c r="C7" s="1985" t="s">
        <v>1264</v>
      </c>
      <c r="D7" s="1987"/>
      <c r="E7" s="1985" t="s">
        <v>2136</v>
      </c>
      <c r="F7" s="1985"/>
      <c r="G7" s="1985" t="s">
        <v>2137</v>
      </c>
      <c r="H7" s="1987"/>
      <c r="I7" s="1988" t="s">
        <v>2138</v>
      </c>
      <c r="J7" s="1985"/>
      <c r="K7" s="1985" t="s">
        <v>2139</v>
      </c>
      <c r="L7" s="1988" t="str">
        <f>K8</f>
        <v>7/01/18</v>
      </c>
      <c r="M7" s="1988" t="str">
        <f>+I7</f>
        <v>7/01/18</v>
      </c>
      <c r="N7" s="1988" t="str">
        <f>M8</f>
        <v>6/30/19</v>
      </c>
      <c r="O7" s="1987"/>
      <c r="P7" s="1985" t="s">
        <v>1261</v>
      </c>
      <c r="Q7" s="1985"/>
      <c r="R7" s="1985" t="s">
        <v>2140</v>
      </c>
      <c r="S7" s="1987"/>
    </row>
    <row r="8" spans="1:19" ht="15" customHeight="1" x14ac:dyDescent="0.2">
      <c r="A8" s="1986" t="s">
        <v>2141</v>
      </c>
      <c r="B8" s="1986"/>
      <c r="C8" s="1985" t="s">
        <v>2142</v>
      </c>
      <c r="D8" s="1987"/>
      <c r="E8" s="1985" t="s">
        <v>2142</v>
      </c>
      <c r="F8" s="1989"/>
      <c r="G8" s="1990" t="s">
        <v>2138</v>
      </c>
      <c r="H8" s="1987"/>
      <c r="I8" s="1990" t="s">
        <v>2143</v>
      </c>
      <c r="J8" s="1989"/>
      <c r="K8" s="1991" t="str">
        <f>+G8</f>
        <v>7/01/18</v>
      </c>
      <c r="L8" s="1991" t="s">
        <v>1582</v>
      </c>
      <c r="M8" s="1991" t="str">
        <f>+I8</f>
        <v>6/30/19</v>
      </c>
      <c r="N8" s="1991" t="s">
        <v>1582</v>
      </c>
      <c r="O8" s="1992"/>
      <c r="P8" s="1989" t="s">
        <v>2144</v>
      </c>
      <c r="Q8" s="1989"/>
      <c r="R8" s="1989" t="s">
        <v>1257</v>
      </c>
      <c r="S8" s="1992"/>
    </row>
    <row r="9" spans="1:19" ht="15.75" customHeight="1" x14ac:dyDescent="0.2">
      <c r="A9" s="1993" t="s">
        <v>2145</v>
      </c>
      <c r="B9" s="1987"/>
      <c r="C9" s="2146" t="s">
        <v>2146</v>
      </c>
      <c r="D9" s="1994"/>
      <c r="E9" s="2146" t="s">
        <v>2147</v>
      </c>
      <c r="F9" s="2146"/>
      <c r="G9" s="1995" t="s">
        <v>2148</v>
      </c>
      <c r="H9" s="1996"/>
      <c r="I9" s="1995" t="s">
        <v>2149</v>
      </c>
      <c r="J9" s="1995"/>
      <c r="K9" s="1995" t="s">
        <v>2150</v>
      </c>
      <c r="L9" s="1995" t="s">
        <v>1266</v>
      </c>
      <c r="M9" s="1995" t="s">
        <v>2151</v>
      </c>
      <c r="N9" s="1995" t="s">
        <v>1266</v>
      </c>
      <c r="O9" s="1996"/>
      <c r="P9" s="1995" t="s">
        <v>2152</v>
      </c>
      <c r="Q9" s="1995"/>
      <c r="R9" s="1995" t="s">
        <v>2153</v>
      </c>
      <c r="S9" s="1996"/>
    </row>
    <row r="10" spans="1:19" x14ac:dyDescent="0.2">
      <c r="A10" s="1997"/>
      <c r="B10" s="1992"/>
      <c r="C10" s="1998"/>
      <c r="D10" s="1992"/>
      <c r="E10" s="1998"/>
      <c r="F10" s="1989"/>
      <c r="G10" s="1999"/>
      <c r="H10" s="2000"/>
      <c r="I10" s="1999"/>
      <c r="J10" s="2001"/>
      <c r="K10" s="1999"/>
      <c r="L10" s="1999"/>
      <c r="M10" s="1999"/>
      <c r="N10" s="1999"/>
      <c r="O10" s="2000"/>
      <c r="P10" s="1999"/>
      <c r="Q10" s="2001"/>
      <c r="R10" s="1999"/>
      <c r="S10" s="2000"/>
    </row>
    <row r="11" spans="1:19" x14ac:dyDescent="0.2">
      <c r="A11" s="2002" t="s">
        <v>2154</v>
      </c>
      <c r="B11" s="1992"/>
      <c r="C11" s="1998"/>
      <c r="D11" s="1992"/>
      <c r="E11" s="1998"/>
      <c r="F11" s="1989"/>
      <c r="G11" s="1999"/>
      <c r="H11" s="2000"/>
      <c r="I11" s="1999"/>
      <c r="J11" s="2001"/>
      <c r="K11" s="1999"/>
      <c r="L11" s="1999"/>
      <c r="M11" s="1999"/>
      <c r="N11" s="1999"/>
      <c r="O11" s="2000"/>
      <c r="P11" s="1999"/>
      <c r="Q11" s="2001"/>
      <c r="R11" s="1999"/>
      <c r="S11" s="2000"/>
    </row>
    <row r="12" spans="1:19" x14ac:dyDescent="0.2">
      <c r="A12" s="2004" t="s">
        <v>2155</v>
      </c>
      <c r="B12" s="1992"/>
      <c r="C12" s="1998"/>
      <c r="D12" s="1992"/>
      <c r="E12" s="1998"/>
      <c r="F12" s="1989"/>
      <c r="G12" s="1999"/>
      <c r="H12" s="2000"/>
      <c r="I12" s="1999"/>
      <c r="J12" s="2001"/>
      <c r="K12" s="1999"/>
      <c r="L12" s="1999"/>
      <c r="M12" s="1999"/>
      <c r="N12" s="1999"/>
      <c r="O12" s="2000"/>
      <c r="P12" s="1999"/>
      <c r="Q12" s="2001"/>
      <c r="R12" s="1999"/>
      <c r="S12" s="2000"/>
    </row>
    <row r="13" spans="1:19" x14ac:dyDescent="0.2">
      <c r="A13" s="2005" t="s">
        <v>2156</v>
      </c>
      <c r="B13" s="1992"/>
      <c r="C13" s="1992"/>
      <c r="D13" s="1992"/>
      <c r="E13" s="1992"/>
      <c r="F13" s="1989"/>
      <c r="G13" s="2000"/>
      <c r="H13" s="2000"/>
      <c r="I13" s="2000"/>
      <c r="J13" s="2001"/>
      <c r="K13" s="2000"/>
      <c r="L13" s="2000"/>
      <c r="M13" s="2000"/>
      <c r="N13" s="2000"/>
      <c r="O13" s="2000"/>
      <c r="P13" s="2000"/>
      <c r="Q13" s="2001"/>
      <c r="R13" s="2000"/>
      <c r="S13" s="2000"/>
    </row>
    <row r="14" spans="1:19" ht="8.25" customHeight="1" x14ac:dyDescent="0.2">
      <c r="A14" s="2006"/>
      <c r="B14" s="2006"/>
      <c r="C14" s="2007"/>
      <c r="D14" s="2008"/>
      <c r="E14" s="2009"/>
      <c r="F14" s="2008"/>
      <c r="G14" s="2010"/>
      <c r="H14" s="2010"/>
      <c r="I14" s="2010"/>
      <c r="J14" s="2010"/>
      <c r="K14" s="2010"/>
      <c r="L14" s="2010"/>
      <c r="M14" s="2010"/>
      <c r="N14" s="2010"/>
      <c r="O14" s="2011"/>
      <c r="P14" s="2010"/>
      <c r="Q14" s="2012"/>
      <c r="R14" s="2010" t="s">
        <v>1169</v>
      </c>
      <c r="S14" s="2011"/>
    </row>
    <row r="15" spans="1:19" x14ac:dyDescent="0.2">
      <c r="A15" s="2006"/>
      <c r="B15" s="2006" t="s">
        <v>1058</v>
      </c>
      <c r="C15" s="2007">
        <v>10.555</v>
      </c>
      <c r="D15" s="2008"/>
      <c r="E15" s="2013" t="s">
        <v>2157</v>
      </c>
      <c r="F15" s="2008"/>
      <c r="G15" s="2014">
        <v>15065</v>
      </c>
      <c r="H15" s="2014"/>
      <c r="I15" s="2014">
        <v>6312</v>
      </c>
      <c r="J15" s="2014"/>
      <c r="K15" s="2014">
        <v>17270</v>
      </c>
      <c r="L15" s="2014"/>
      <c r="M15" s="2015">
        <v>4107</v>
      </c>
      <c r="N15" s="2014"/>
      <c r="P15" s="2010"/>
      <c r="Q15" s="2012"/>
      <c r="R15" s="2016">
        <f>K15+M15+P15</f>
        <v>21377</v>
      </c>
      <c r="S15" s="2011"/>
    </row>
    <row r="16" spans="1:19" ht="15" x14ac:dyDescent="0.35">
      <c r="A16" s="2017"/>
      <c r="B16" s="2017" t="s">
        <v>1058</v>
      </c>
      <c r="C16" s="2018">
        <v>10.555</v>
      </c>
      <c r="D16" s="2019"/>
      <c r="E16" s="2013" t="s">
        <v>2158</v>
      </c>
      <c r="F16" s="2019"/>
      <c r="G16" s="2020" t="s">
        <v>1169</v>
      </c>
      <c r="H16" s="2014"/>
      <c r="I16" s="2020">
        <v>17554</v>
      </c>
      <c r="J16" s="2014"/>
      <c r="K16" s="2020" t="s">
        <v>1169</v>
      </c>
      <c r="L16" s="2014"/>
      <c r="M16" s="2020">
        <v>17554</v>
      </c>
      <c r="N16" s="2014"/>
      <c r="O16" s="2015"/>
      <c r="P16" s="2014"/>
      <c r="Q16" s="2015" t="s">
        <v>1255</v>
      </c>
      <c r="R16" s="2020">
        <f>K16+M16+P16</f>
        <v>17554</v>
      </c>
      <c r="S16" s="2011"/>
    </row>
    <row r="17" spans="1:19" ht="15" x14ac:dyDescent="0.35">
      <c r="A17" s="2017"/>
      <c r="B17" s="2017"/>
      <c r="C17" s="2021" t="s">
        <v>2159</v>
      </c>
      <c r="D17" s="2019"/>
      <c r="E17" s="2013"/>
      <c r="F17" s="2019"/>
      <c r="G17" s="2020">
        <f>SUM(G15:G16)</f>
        <v>15065</v>
      </c>
      <c r="H17" s="2014"/>
      <c r="I17" s="2020">
        <f>SUM(I15:I16)</f>
        <v>23866</v>
      </c>
      <c r="J17" s="2014"/>
      <c r="K17" s="2020">
        <f>SUM(K15:K16)</f>
        <v>17270</v>
      </c>
      <c r="L17" s="2014"/>
      <c r="M17" s="2020">
        <f>SUM(M15:M16)</f>
        <v>21661</v>
      </c>
      <c r="N17" s="2014"/>
      <c r="O17" s="2015"/>
      <c r="P17" s="2014"/>
      <c r="Q17" s="2015"/>
      <c r="R17" s="2020">
        <f>SUM(R15:R16)</f>
        <v>38931</v>
      </c>
      <c r="S17" s="2011"/>
    </row>
    <row r="18" spans="1:19" ht="10.5" customHeight="1" x14ac:dyDescent="0.2">
      <c r="A18" s="2017"/>
      <c r="B18" s="2017"/>
      <c r="C18" s="2018"/>
      <c r="D18" s="2019"/>
      <c r="E18" s="2013"/>
      <c r="F18" s="2019"/>
      <c r="G18" s="2010"/>
      <c r="H18" s="2010"/>
      <c r="I18" s="2014"/>
      <c r="J18" s="2014"/>
      <c r="K18" s="2014"/>
      <c r="L18" s="2014"/>
      <c r="M18" s="2014"/>
      <c r="N18" s="2014"/>
      <c r="O18" s="2015"/>
      <c r="P18" s="2014"/>
      <c r="Q18" s="2015"/>
      <c r="R18" s="2014"/>
      <c r="S18" s="2011"/>
    </row>
    <row r="19" spans="1:19" x14ac:dyDescent="0.2">
      <c r="A19" s="2017"/>
      <c r="B19" s="2017" t="s">
        <v>2160</v>
      </c>
      <c r="C19" s="2018">
        <v>10.553000000000001</v>
      </c>
      <c r="D19" s="2019"/>
      <c r="E19" s="2013" t="s">
        <v>2161</v>
      </c>
      <c r="F19" s="2019"/>
      <c r="G19" s="2014">
        <v>8795</v>
      </c>
      <c r="H19" s="2014"/>
      <c r="I19" s="2014">
        <v>3505</v>
      </c>
      <c r="J19" s="2014">
        <v>0</v>
      </c>
      <c r="K19" s="2014">
        <v>9998</v>
      </c>
      <c r="L19" s="2014"/>
      <c r="M19" s="2014">
        <v>2302</v>
      </c>
      <c r="N19" s="2014"/>
      <c r="O19" s="2015"/>
      <c r="P19" s="2014"/>
      <c r="Q19" s="2015"/>
      <c r="R19" s="2014">
        <f>K19+M19+P19</f>
        <v>12300</v>
      </c>
      <c r="S19" s="2011"/>
    </row>
    <row r="20" spans="1:19" x14ac:dyDescent="0.2">
      <c r="A20" s="2017"/>
      <c r="B20" s="2017" t="s">
        <v>2160</v>
      </c>
      <c r="C20" s="2018">
        <v>10.553000000000001</v>
      </c>
      <c r="D20" s="2019"/>
      <c r="E20" s="2013" t="s">
        <v>2162</v>
      </c>
      <c r="F20" s="2019"/>
      <c r="G20" s="2022">
        <v>0</v>
      </c>
      <c r="H20" s="2014"/>
      <c r="I20" s="2023">
        <v>11011</v>
      </c>
      <c r="J20" s="2014"/>
      <c r="K20" s="2022">
        <v>0</v>
      </c>
      <c r="L20" s="2022"/>
      <c r="M20" s="2023">
        <v>11011</v>
      </c>
      <c r="N20" s="2022"/>
      <c r="O20" s="2015"/>
      <c r="P20" s="2022">
        <v>0</v>
      </c>
      <c r="Q20" s="2015" t="s">
        <v>1255</v>
      </c>
      <c r="R20" s="2023">
        <f>K20+M20+P20</f>
        <v>11011</v>
      </c>
      <c r="S20" s="2011"/>
    </row>
    <row r="21" spans="1:19" ht="15" x14ac:dyDescent="0.35">
      <c r="A21" s="2006"/>
      <c r="B21" s="2006"/>
      <c r="C21" s="2021" t="s">
        <v>2163</v>
      </c>
      <c r="D21" s="2008"/>
      <c r="E21" s="2006"/>
      <c r="F21" s="2008"/>
      <c r="G21" s="2020">
        <f>SUM(G19:G20)</f>
        <v>8795</v>
      </c>
      <c r="H21" s="2010"/>
      <c r="I21" s="2020">
        <f>SUM(I19:I20)</f>
        <v>14516</v>
      </c>
      <c r="J21" s="2014"/>
      <c r="K21" s="2020">
        <f>SUM(K19:K20)</f>
        <v>9998</v>
      </c>
      <c r="L21" s="2014"/>
      <c r="M21" s="2020">
        <f>SUM(M19:M20)</f>
        <v>13313</v>
      </c>
      <c r="N21" s="2014"/>
      <c r="O21" s="2024"/>
      <c r="P21" s="2020">
        <f>SUM(P19:P20)</f>
        <v>0</v>
      </c>
      <c r="Q21" s="2025"/>
      <c r="R21" s="2020">
        <f>SUM(R19:R20)</f>
        <v>23311</v>
      </c>
      <c r="S21" s="2026"/>
    </row>
    <row r="22" spans="1:19" ht="18.75" customHeight="1" x14ac:dyDescent="0.2">
      <c r="A22" s="2027" t="s">
        <v>2164</v>
      </c>
      <c r="B22" s="2028"/>
      <c r="C22" s="2029"/>
      <c r="D22" s="2030"/>
      <c r="E22" s="2028"/>
      <c r="F22" s="2030"/>
      <c r="G22" s="2031">
        <f>SUM(G17,G21)</f>
        <v>23860</v>
      </c>
      <c r="H22" s="2031"/>
      <c r="I22" s="2031">
        <f>SUM(I17,I21)</f>
        <v>38382</v>
      </c>
      <c r="J22" s="2032"/>
      <c r="K22" s="2031">
        <f>SUM(K17,K21)</f>
        <v>27268</v>
      </c>
      <c r="L22" s="2147"/>
      <c r="M22" s="2031">
        <f>SUM(M17,M21)</f>
        <v>34974</v>
      </c>
      <c r="N22" s="2147"/>
      <c r="O22" s="2032"/>
      <c r="P22" s="2031">
        <f>SUM(P17,P21)</f>
        <v>0</v>
      </c>
      <c r="Q22" s="2032"/>
      <c r="R22" s="2031">
        <f>SUM(R17,R21)</f>
        <v>62242</v>
      </c>
      <c r="S22" s="2033"/>
    </row>
    <row r="23" spans="1:19" ht="6" customHeight="1" x14ac:dyDescent="0.2">
      <c r="A23" s="2006"/>
      <c r="B23" s="2006"/>
      <c r="C23" s="2007"/>
      <c r="D23" s="2008"/>
      <c r="E23" s="2006"/>
      <c r="F23" s="2008"/>
      <c r="G23" s="2010"/>
      <c r="H23" s="2010"/>
      <c r="I23" s="2010"/>
      <c r="J23" s="2010"/>
      <c r="K23" s="2010"/>
      <c r="L23" s="2010"/>
      <c r="M23" s="2010"/>
      <c r="N23" s="2010"/>
      <c r="O23" s="2026"/>
      <c r="P23" s="2010"/>
      <c r="Q23" s="2035"/>
      <c r="R23" s="2010"/>
      <c r="S23" s="2026"/>
    </row>
    <row r="24" spans="1:19" ht="15.75" customHeight="1" x14ac:dyDescent="0.2">
      <c r="A24" s="2002" t="s">
        <v>2165</v>
      </c>
      <c r="B24" s="2006"/>
      <c r="C24" s="2007"/>
      <c r="D24" s="2008"/>
      <c r="E24" s="2006"/>
      <c r="F24" s="2008"/>
      <c r="G24" s="2010"/>
      <c r="H24" s="2010"/>
      <c r="I24" s="2010"/>
      <c r="J24" s="2010"/>
      <c r="K24" s="2010"/>
      <c r="L24" s="2010"/>
      <c r="M24" s="2010"/>
      <c r="N24" s="2010"/>
      <c r="O24" s="2026"/>
      <c r="P24" s="2010"/>
      <c r="Q24" s="2035"/>
      <c r="R24" s="2010"/>
      <c r="S24" s="2026"/>
    </row>
    <row r="25" spans="1:19" x14ac:dyDescent="0.2">
      <c r="A25" s="2002" t="s">
        <v>2155</v>
      </c>
      <c r="B25" s="2006"/>
      <c r="C25" s="2007"/>
      <c r="D25" s="2008"/>
      <c r="E25" s="2006"/>
      <c r="F25" s="2008"/>
      <c r="G25" s="2010" t="s">
        <v>1169</v>
      </c>
      <c r="H25" s="2010"/>
      <c r="I25" s="2014" t="s">
        <v>1169</v>
      </c>
      <c r="J25" s="2010"/>
      <c r="K25" s="2010" t="s">
        <v>1169</v>
      </c>
      <c r="L25" s="2010"/>
      <c r="M25" s="2010"/>
      <c r="N25" s="2010"/>
      <c r="O25" s="2026"/>
      <c r="P25" s="2010" t="s">
        <v>1169</v>
      </c>
      <c r="Q25" s="2035"/>
      <c r="R25" s="2010"/>
      <c r="S25" s="2026"/>
    </row>
    <row r="26" spans="1:19" x14ac:dyDescent="0.2">
      <c r="A26" s="2002" t="s">
        <v>2156</v>
      </c>
      <c r="B26" s="2006"/>
      <c r="C26" s="2007"/>
      <c r="D26" s="2008"/>
      <c r="E26" s="2006"/>
      <c r="F26" s="2008"/>
      <c r="G26" s="2010" t="s">
        <v>1169</v>
      </c>
      <c r="H26" s="2010"/>
      <c r="I26" s="2010"/>
      <c r="J26" s="2010"/>
      <c r="K26" s="2010"/>
      <c r="L26" s="2010"/>
      <c r="M26" s="2010" t="s">
        <v>1169</v>
      </c>
      <c r="N26" s="2010"/>
      <c r="O26" s="2026"/>
      <c r="P26" s="2014"/>
      <c r="Q26" s="2035"/>
      <c r="R26" s="2010"/>
      <c r="S26" s="2026"/>
    </row>
    <row r="27" spans="1:19" ht="5.25" customHeight="1" x14ac:dyDescent="0.2">
      <c r="A27" s="2002"/>
      <c r="B27" s="2006"/>
      <c r="C27" s="2007"/>
      <c r="D27" s="2008"/>
      <c r="E27" s="2017"/>
      <c r="F27" s="2008"/>
      <c r="G27" s="2010"/>
      <c r="H27" s="2010"/>
      <c r="I27" s="2010"/>
      <c r="J27" s="2010"/>
      <c r="K27" s="2010"/>
      <c r="L27" s="2010"/>
      <c r="M27" s="2010"/>
      <c r="N27" s="2010"/>
      <c r="O27" s="2026"/>
      <c r="P27" s="2010"/>
      <c r="Q27" s="2035"/>
      <c r="R27" s="2010"/>
      <c r="S27" s="2026"/>
    </row>
    <row r="28" spans="1:19" ht="13.5" customHeight="1" x14ac:dyDescent="0.2">
      <c r="A28" s="2036"/>
      <c r="B28" s="2028" t="s">
        <v>2166</v>
      </c>
      <c r="C28" s="2029">
        <v>84.173000000000002</v>
      </c>
      <c r="D28" s="2030"/>
      <c r="E28" s="2037" t="s">
        <v>2167</v>
      </c>
      <c r="F28" s="2030"/>
      <c r="G28" s="2038">
        <v>103839</v>
      </c>
      <c r="H28" s="2039"/>
      <c r="I28" s="2038">
        <v>45069</v>
      </c>
      <c r="J28" s="2038"/>
      <c r="K28" s="2014">
        <v>148908</v>
      </c>
      <c r="L28" s="2038"/>
      <c r="M28" s="2038"/>
      <c r="N28" s="2038"/>
      <c r="O28" s="2033"/>
      <c r="P28" s="2034"/>
      <c r="Q28" s="2040"/>
      <c r="R28" s="2038">
        <f>K28+M28+P28</f>
        <v>148908</v>
      </c>
      <c r="S28" s="2033"/>
    </row>
    <row r="29" spans="1:19" hidden="1" x14ac:dyDescent="0.2">
      <c r="A29" s="2041"/>
      <c r="B29" s="2009"/>
      <c r="C29" s="2007"/>
      <c r="D29" s="2008"/>
      <c r="E29" s="2017"/>
      <c r="F29" s="2008"/>
      <c r="G29" s="2014"/>
      <c r="H29" s="2014"/>
      <c r="I29" s="2042"/>
      <c r="J29" s="2014"/>
      <c r="K29" s="2014"/>
      <c r="L29" s="2042"/>
      <c r="M29" s="2042"/>
      <c r="N29" s="2042"/>
      <c r="O29" s="2026"/>
      <c r="P29" s="2010"/>
      <c r="Q29" s="2035"/>
      <c r="R29" s="2010"/>
      <c r="S29" s="2026"/>
    </row>
    <row r="30" spans="1:19" hidden="1" x14ac:dyDescent="0.2">
      <c r="A30" s="2043"/>
      <c r="B30" s="2006"/>
      <c r="C30" s="2007"/>
      <c r="D30" s="2008"/>
      <c r="E30" s="2037"/>
      <c r="F30" s="2008"/>
      <c r="G30" s="2014">
        <v>0</v>
      </c>
      <c r="H30" s="2044"/>
      <c r="I30" s="2042">
        <v>0</v>
      </c>
      <c r="J30" s="2014"/>
      <c r="K30" s="2014">
        <v>0</v>
      </c>
      <c r="L30" s="2042"/>
      <c r="M30" s="2042">
        <v>0</v>
      </c>
      <c r="N30" s="2042"/>
      <c r="O30" s="2045"/>
      <c r="P30" s="2010"/>
      <c r="Q30" s="2012"/>
      <c r="R30" s="2014">
        <f>K30+M30+P30</f>
        <v>0</v>
      </c>
      <c r="S30" s="2011"/>
    </row>
    <row r="31" spans="1:19" ht="11.25" hidden="1" customHeight="1" x14ac:dyDescent="0.2">
      <c r="A31" s="2043"/>
      <c r="B31" s="2006"/>
      <c r="C31" s="2007"/>
      <c r="D31" s="2008"/>
      <c r="E31" s="2017"/>
      <c r="F31" s="2008"/>
      <c r="G31" s="2010" t="s">
        <v>1169</v>
      </c>
      <c r="H31" s="2010"/>
      <c r="I31" s="2042"/>
      <c r="J31" s="2010"/>
      <c r="K31" s="2010"/>
      <c r="L31" s="2042"/>
      <c r="M31" s="2042"/>
      <c r="N31" s="2042"/>
      <c r="O31" s="2011"/>
      <c r="P31" s="2010"/>
      <c r="Q31" s="2012"/>
      <c r="R31" s="2010"/>
      <c r="S31" s="2011"/>
    </row>
    <row r="32" spans="1:19" ht="16.5" customHeight="1" x14ac:dyDescent="0.35">
      <c r="A32" s="2046" t="s">
        <v>2168</v>
      </c>
      <c r="B32" s="2017" t="s">
        <v>2166</v>
      </c>
      <c r="C32" s="2018">
        <v>84.173000000000002</v>
      </c>
      <c r="D32" s="2019"/>
      <c r="E32" s="2037" t="s">
        <v>2169</v>
      </c>
      <c r="F32" s="2019"/>
      <c r="G32" s="2020" t="s">
        <v>1169</v>
      </c>
      <c r="H32" s="2044"/>
      <c r="I32" s="2020">
        <v>109120</v>
      </c>
      <c r="J32" s="2014"/>
      <c r="K32" s="2020" t="s">
        <v>1169</v>
      </c>
      <c r="L32" s="2014"/>
      <c r="M32" s="2020">
        <v>159567</v>
      </c>
      <c r="N32" s="2014"/>
      <c r="O32" s="2024"/>
      <c r="P32" s="2020" t="s">
        <v>1169</v>
      </c>
      <c r="Q32" s="2015" t="s">
        <v>1255</v>
      </c>
      <c r="R32" s="2020">
        <f>K32+M32+P32</f>
        <v>159567</v>
      </c>
      <c r="S32" s="2024"/>
    </row>
    <row r="33" spans="1:25" ht="15" x14ac:dyDescent="0.35">
      <c r="A33" s="2046"/>
      <c r="B33" s="2037"/>
      <c r="C33" s="2021" t="s">
        <v>2170</v>
      </c>
      <c r="D33" s="2019"/>
      <c r="E33" s="2017"/>
      <c r="F33" s="2019"/>
      <c r="G33" s="2020">
        <f>SUM(G28:G32)</f>
        <v>103839</v>
      </c>
      <c r="H33" s="2014"/>
      <c r="I33" s="2020">
        <f>SUM(I28:I32)</f>
        <v>154189</v>
      </c>
      <c r="J33" s="2014"/>
      <c r="K33" s="2020">
        <f>SUM(K28:K32)</f>
        <v>148908</v>
      </c>
      <c r="L33" s="2014"/>
      <c r="M33" s="2020">
        <f>SUM(M28:M32)</f>
        <v>159567</v>
      </c>
      <c r="N33" s="2014"/>
      <c r="O33" s="2024"/>
      <c r="P33" s="2020">
        <f>SUM(P28:P32)</f>
        <v>0</v>
      </c>
      <c r="Q33" s="2025"/>
      <c r="R33" s="2020">
        <f>SUM(R28:R32)</f>
        <v>308475</v>
      </c>
      <c r="S33" s="2024"/>
    </row>
    <row r="34" spans="1:25" ht="7.5" customHeight="1" x14ac:dyDescent="0.2">
      <c r="A34" s="2041"/>
      <c r="B34" s="2006"/>
      <c r="C34" s="2007"/>
      <c r="D34" s="2008"/>
      <c r="E34" s="2017"/>
      <c r="F34" s="2008"/>
      <c r="G34" s="2010"/>
      <c r="H34" s="2010"/>
      <c r="I34" s="2014"/>
      <c r="J34" s="2010"/>
      <c r="K34" s="2010"/>
      <c r="L34" s="2014"/>
      <c r="M34" s="2014"/>
      <c r="N34" s="2014"/>
      <c r="O34" s="2015"/>
      <c r="P34" s="2014"/>
      <c r="Q34" s="2012"/>
      <c r="R34" s="2010"/>
      <c r="S34" s="2011"/>
    </row>
    <row r="35" spans="1:25" x14ac:dyDescent="0.2">
      <c r="A35" s="2046" t="s">
        <v>2168</v>
      </c>
      <c r="B35" s="2037" t="s">
        <v>2171</v>
      </c>
      <c r="C35" s="2018">
        <v>84.027000000000001</v>
      </c>
      <c r="D35" s="2019"/>
      <c r="E35" s="2013" t="s">
        <v>2172</v>
      </c>
      <c r="F35" s="2047"/>
      <c r="G35" s="2014">
        <f>1541497+379554</f>
        <v>1921051</v>
      </c>
      <c r="H35" s="2014"/>
      <c r="I35" s="2014">
        <v>1624689</v>
      </c>
      <c r="J35" s="2015"/>
      <c r="K35" s="2014">
        <v>3315668</v>
      </c>
      <c r="L35" s="2014"/>
      <c r="M35" s="2014">
        <v>230072</v>
      </c>
      <c r="N35" s="2014"/>
      <c r="O35" s="2024"/>
      <c r="P35" s="2014"/>
      <c r="Q35" s="2025"/>
      <c r="R35" s="2014">
        <f>K35+M35+P35</f>
        <v>3545740</v>
      </c>
      <c r="S35" s="2026"/>
    </row>
    <row r="36" spans="1:25" ht="14.25" customHeight="1" x14ac:dyDescent="0.2">
      <c r="A36" s="2046"/>
      <c r="B36" s="2017" t="s">
        <v>2171</v>
      </c>
      <c r="C36" s="2018" t="s">
        <v>1169</v>
      </c>
      <c r="D36" s="2019"/>
      <c r="E36" s="2017" t="s">
        <v>1169</v>
      </c>
      <c r="F36" s="2047"/>
      <c r="G36" s="2014"/>
      <c r="H36" s="2014"/>
      <c r="I36" s="2014"/>
      <c r="J36" s="2024"/>
      <c r="K36" s="2014"/>
      <c r="L36" s="2014"/>
      <c r="M36" s="2014"/>
      <c r="N36" s="2014"/>
      <c r="O36" s="2024"/>
      <c r="P36" s="2014"/>
      <c r="Q36" s="2025"/>
      <c r="R36" s="2014"/>
      <c r="S36" s="2026"/>
    </row>
    <row r="37" spans="1:25" x14ac:dyDescent="0.2">
      <c r="A37" s="2048"/>
      <c r="B37" s="2049" t="s">
        <v>2173</v>
      </c>
      <c r="C37" s="2050">
        <v>84.027000000000001</v>
      </c>
      <c r="D37" s="2051"/>
      <c r="E37" s="2049" t="s">
        <v>2172</v>
      </c>
      <c r="F37" s="2008"/>
      <c r="G37" s="2038">
        <v>112549</v>
      </c>
      <c r="H37" s="2038"/>
      <c r="I37" s="2038" t="s">
        <v>1169</v>
      </c>
      <c r="J37" s="2052"/>
      <c r="K37" s="2053">
        <v>112549</v>
      </c>
      <c r="L37" s="2038"/>
      <c r="M37" s="2038"/>
      <c r="N37" s="2038"/>
      <c r="O37" s="2054"/>
      <c r="P37" s="2055"/>
      <c r="Q37" s="2035"/>
      <c r="R37" s="2014">
        <f>K37+M37+P37</f>
        <v>112549</v>
      </c>
      <c r="S37" s="2011"/>
    </row>
    <row r="38" spans="1:25" x14ac:dyDescent="0.2">
      <c r="A38" s="2056"/>
      <c r="B38" s="2017" t="s">
        <v>2174</v>
      </c>
      <c r="C38" s="2018"/>
      <c r="D38" s="2019"/>
      <c r="E38" s="2037"/>
      <c r="F38" s="2008"/>
      <c r="G38" s="2038"/>
      <c r="H38" s="2038"/>
      <c r="I38" s="2038"/>
      <c r="J38" s="2052"/>
      <c r="K38" s="2053"/>
      <c r="L38" s="2038">
        <v>107573</v>
      </c>
      <c r="M38" s="2038"/>
      <c r="N38" s="2038"/>
      <c r="O38" s="2054"/>
      <c r="P38" s="2055"/>
      <c r="Q38" s="2035"/>
      <c r="R38" s="2014"/>
      <c r="S38" s="2011"/>
    </row>
    <row r="39" spans="1:25" x14ac:dyDescent="0.2">
      <c r="A39" s="2056"/>
      <c r="B39" s="2028" t="s">
        <v>2175</v>
      </c>
      <c r="C39" s="2018"/>
      <c r="D39" s="2019"/>
      <c r="E39" s="2037"/>
      <c r="F39" s="2008"/>
      <c r="G39" s="2038"/>
      <c r="H39" s="2038"/>
      <c r="I39" s="2038"/>
      <c r="J39" s="2052"/>
      <c r="K39" s="2053"/>
      <c r="L39" s="2038">
        <v>1690</v>
      </c>
      <c r="M39" s="2038"/>
      <c r="N39" s="2038"/>
      <c r="O39" s="2054"/>
      <c r="P39" s="2055"/>
      <c r="Q39" s="2035"/>
      <c r="R39" s="2014"/>
      <c r="S39" s="2011"/>
    </row>
    <row r="40" spans="1:25" x14ac:dyDescent="0.2">
      <c r="A40" s="2056"/>
      <c r="B40" s="2028" t="s">
        <v>2176</v>
      </c>
      <c r="C40" s="2018"/>
      <c r="D40" s="2019"/>
      <c r="E40" s="2037"/>
      <c r="F40" s="2008"/>
      <c r="G40" s="2038"/>
      <c r="H40" s="2038"/>
      <c r="I40" s="2038"/>
      <c r="J40" s="2052"/>
      <c r="K40" s="2053"/>
      <c r="L40" s="2038">
        <v>3286</v>
      </c>
      <c r="M40" s="2038"/>
      <c r="N40" s="2038"/>
      <c r="O40" s="2054"/>
      <c r="P40" s="2055"/>
      <c r="Q40" s="2035"/>
      <c r="R40" s="2014"/>
      <c r="S40" s="2011"/>
    </row>
    <row r="41" spans="1:25" ht="8.25" customHeight="1" x14ac:dyDescent="0.2">
      <c r="A41" s="2043"/>
      <c r="B41" s="2006"/>
      <c r="C41" s="2007"/>
      <c r="D41" s="2008"/>
      <c r="E41" s="2017"/>
      <c r="F41" s="2008"/>
      <c r="G41" s="2010"/>
      <c r="H41" s="2010"/>
      <c r="I41" s="2014"/>
      <c r="J41" s="2010"/>
      <c r="K41" s="2010"/>
      <c r="L41" s="2014"/>
      <c r="M41" s="2014"/>
      <c r="N41" s="2014"/>
      <c r="O41" s="2011"/>
      <c r="P41" s="2057"/>
      <c r="Q41" s="2035"/>
      <c r="R41" s="2010"/>
      <c r="S41" s="2011"/>
    </row>
    <row r="42" spans="1:25" x14ac:dyDescent="0.2">
      <c r="A42" s="2046" t="s">
        <v>2168</v>
      </c>
      <c r="B42" s="2037" t="s">
        <v>2171</v>
      </c>
      <c r="C42" s="2018">
        <v>84.027000000000001</v>
      </c>
      <c r="D42" s="2019"/>
      <c r="E42" s="2013" t="s">
        <v>2114</v>
      </c>
      <c r="F42" s="2014"/>
      <c r="G42" s="2014"/>
      <c r="H42" s="2044"/>
      <c r="I42" s="2014">
        <f>2177367-38</f>
        <v>2177329</v>
      </c>
      <c r="J42" s="2014"/>
      <c r="K42" s="2014" t="s">
        <v>1169</v>
      </c>
      <c r="L42" s="2014"/>
      <c r="M42" s="2014">
        <f>3263859-110209</f>
        <v>3153650</v>
      </c>
      <c r="N42" s="2014"/>
      <c r="O42" s="2024"/>
      <c r="P42" s="2014">
        <v>200000</v>
      </c>
      <c r="Q42" s="2015" t="s">
        <v>1255</v>
      </c>
      <c r="R42" s="2014">
        <f>K42+M42+P42</f>
        <v>3353650</v>
      </c>
      <c r="S42" s="2024"/>
    </row>
    <row r="43" spans="1:25" x14ac:dyDescent="0.2">
      <c r="A43" s="2046" t="s">
        <v>2168</v>
      </c>
      <c r="B43" s="2017" t="s">
        <v>2171</v>
      </c>
      <c r="C43" s="2018" t="s">
        <v>1169</v>
      </c>
      <c r="D43" s="2019"/>
      <c r="E43" s="2017" t="s">
        <v>1169</v>
      </c>
      <c r="F43" s="2058"/>
      <c r="G43" s="2014"/>
      <c r="H43" s="2014"/>
      <c r="I43" s="2014"/>
      <c r="J43" s="2014"/>
      <c r="K43" s="2014"/>
      <c r="L43" s="2014"/>
      <c r="M43" s="2014"/>
      <c r="N43" s="2014"/>
      <c r="O43" s="2024"/>
      <c r="P43" s="2014"/>
      <c r="Q43" s="2025"/>
      <c r="R43" s="2014"/>
      <c r="S43" s="2024"/>
    </row>
    <row r="44" spans="1:25" x14ac:dyDescent="0.2">
      <c r="A44" s="2048"/>
      <c r="B44" s="2049" t="s">
        <v>2173</v>
      </c>
      <c r="C44" s="2050">
        <v>84.027000000000001</v>
      </c>
      <c r="D44" s="2051"/>
      <c r="E44" s="2049" t="s">
        <v>2114</v>
      </c>
      <c r="F44" s="2059"/>
      <c r="G44" s="2038"/>
      <c r="H44" s="2039"/>
      <c r="I44" s="2038">
        <v>110209</v>
      </c>
      <c r="J44" s="2038"/>
      <c r="K44" s="2038" t="s">
        <v>1169</v>
      </c>
      <c r="L44" s="2053"/>
      <c r="M44" s="2039">
        <v>110209</v>
      </c>
      <c r="N44" s="2053"/>
      <c r="O44" s="2052"/>
      <c r="P44" s="2038"/>
      <c r="Q44" s="2015" t="s">
        <v>1255</v>
      </c>
      <c r="R44" s="2038">
        <f>K44+M44+P44</f>
        <v>110209</v>
      </c>
      <c r="S44" s="2060"/>
    </row>
    <row r="45" spans="1:25" ht="12.75" customHeight="1" x14ac:dyDescent="0.2">
      <c r="A45" s="2056"/>
      <c r="B45" s="2017" t="s">
        <v>2174</v>
      </c>
      <c r="C45" s="2018"/>
      <c r="D45" s="2019"/>
      <c r="E45" s="2037"/>
      <c r="F45" s="2058"/>
      <c r="G45" s="2014"/>
      <c r="H45" s="2014"/>
      <c r="I45" s="2014"/>
      <c r="J45" s="2014"/>
      <c r="K45" s="2014"/>
      <c r="L45" s="2014"/>
      <c r="M45" s="2014"/>
      <c r="N45" s="2014">
        <v>110209</v>
      </c>
      <c r="O45" s="2024"/>
      <c r="P45" s="2014"/>
      <c r="Q45" s="2025"/>
      <c r="R45" s="2014"/>
      <c r="S45" s="2024"/>
    </row>
    <row r="46" spans="1:25" hidden="1" x14ac:dyDescent="0.2">
      <c r="A46" s="2041"/>
      <c r="B46" s="2028" t="s">
        <v>2175</v>
      </c>
      <c r="C46" s="2029"/>
      <c r="D46" s="2030"/>
      <c r="E46" s="2049"/>
      <c r="F46" s="2030"/>
      <c r="G46" s="2038"/>
      <c r="H46" s="2039"/>
      <c r="I46" s="2038"/>
      <c r="J46" s="2038"/>
      <c r="K46" s="2038"/>
      <c r="L46" s="2038"/>
      <c r="M46" s="2038"/>
      <c r="N46" s="2061"/>
      <c r="O46" s="2062"/>
      <c r="P46" s="2038" t="s">
        <v>1169</v>
      </c>
      <c r="Q46" s="2040"/>
      <c r="R46" s="2038"/>
      <c r="S46" s="2033"/>
    </row>
    <row r="47" spans="1:25" s="2063" customFormat="1" ht="15.75" customHeight="1" x14ac:dyDescent="0.35">
      <c r="B47" s="2028"/>
      <c r="C47" s="2064"/>
      <c r="D47" s="2064"/>
      <c r="E47" s="2064"/>
      <c r="F47" s="1983"/>
      <c r="G47" s="2020" t="s">
        <v>1169</v>
      </c>
      <c r="H47" s="2065"/>
      <c r="I47" s="2020" t="s">
        <v>1169</v>
      </c>
      <c r="J47" s="2065"/>
      <c r="K47" s="2020" t="s">
        <v>1169</v>
      </c>
      <c r="L47" s="2020"/>
      <c r="M47" s="2020" t="s">
        <v>1169</v>
      </c>
      <c r="N47" s="2014"/>
      <c r="O47" s="2066"/>
      <c r="P47" s="2020" t="s">
        <v>1169</v>
      </c>
      <c r="Q47" s="2065"/>
      <c r="R47" s="2020" t="s">
        <v>1169</v>
      </c>
      <c r="S47" s="2067"/>
    </row>
    <row r="48" spans="1:25" ht="15.75" customHeight="1" x14ac:dyDescent="0.35">
      <c r="A48" s="2046"/>
      <c r="B48" s="2049"/>
      <c r="C48" s="2021" t="s">
        <v>2177</v>
      </c>
      <c r="D48" s="2051"/>
      <c r="E48" s="2049"/>
      <c r="F48" s="2068"/>
      <c r="G48" s="2020">
        <f>SUM(G35:G47)</f>
        <v>2033600</v>
      </c>
      <c r="H48" s="2069"/>
      <c r="I48" s="2020">
        <f>SUM(I35:I47)</f>
        <v>3912227</v>
      </c>
      <c r="J48" s="2070"/>
      <c r="K48" s="2020">
        <f>SUM(K35:K47)</f>
        <v>3428217</v>
      </c>
      <c r="L48" s="2038"/>
      <c r="M48" s="2020">
        <f>SUM(M35:M47)</f>
        <v>3493931</v>
      </c>
      <c r="N48" s="2038"/>
      <c r="O48" s="2069"/>
      <c r="P48" s="2020">
        <f>SUM(P35:P47)</f>
        <v>200000</v>
      </c>
      <c r="Q48" s="2069"/>
      <c r="R48" s="2020">
        <f>SUM(R35:R47)</f>
        <v>7122148</v>
      </c>
      <c r="S48" s="2071"/>
      <c r="T48" s="2072"/>
      <c r="U48" s="2072"/>
      <c r="V48" s="2072"/>
      <c r="W48" s="2072"/>
      <c r="X48" s="2072"/>
      <c r="Y48" s="2072"/>
    </row>
    <row r="49" spans="1:25" ht="15.75" hidden="1" customHeight="1" x14ac:dyDescent="0.2">
      <c r="A49" s="2046"/>
      <c r="B49" s="2049"/>
      <c r="C49" s="2072"/>
      <c r="D49" s="2072"/>
      <c r="E49" s="2072"/>
      <c r="F49" s="2068"/>
      <c r="G49" s="2038"/>
      <c r="H49" s="2069"/>
      <c r="I49" s="2032"/>
      <c r="J49" s="2069"/>
      <c r="K49" s="2032"/>
      <c r="L49" s="2038"/>
      <c r="M49" s="2038"/>
      <c r="N49" s="2038"/>
      <c r="O49" s="2069"/>
      <c r="P49" s="2038"/>
      <c r="Q49" s="2069"/>
      <c r="R49" s="2038"/>
      <c r="S49" s="2071"/>
      <c r="T49" s="2072"/>
      <c r="U49" s="2072"/>
      <c r="V49" s="2072"/>
      <c r="W49" s="2072"/>
      <c r="X49" s="2072"/>
      <c r="Y49" s="2072"/>
    </row>
    <row r="50" spans="1:25" hidden="1" x14ac:dyDescent="0.2">
      <c r="A50" s="2073" t="s">
        <v>2165</v>
      </c>
      <c r="B50" s="1987"/>
      <c r="C50" s="1987"/>
      <c r="D50" s="1987"/>
      <c r="E50" s="1987"/>
      <c r="F50" s="1985"/>
      <c r="G50" s="2074" t="s">
        <v>1169</v>
      </c>
      <c r="H50" s="2074"/>
      <c r="I50" s="2038"/>
      <c r="J50" s="2075"/>
      <c r="K50" s="2074"/>
      <c r="L50" s="2071"/>
      <c r="M50" s="2071"/>
      <c r="N50" s="2071"/>
      <c r="O50" s="2071"/>
      <c r="P50" s="2071"/>
      <c r="Q50" s="2075"/>
      <c r="R50" s="2074"/>
      <c r="S50" s="2074"/>
    </row>
    <row r="51" spans="1:25" hidden="1" x14ac:dyDescent="0.2">
      <c r="A51" s="2073" t="s">
        <v>2178</v>
      </c>
      <c r="B51" s="1987"/>
      <c r="C51" s="2029"/>
      <c r="D51" s="1987"/>
      <c r="E51" s="1987"/>
      <c r="F51" s="1985"/>
      <c r="G51" s="2074"/>
      <c r="H51" s="2074"/>
      <c r="I51" s="2074"/>
      <c r="J51" s="2075"/>
      <c r="K51" s="2074"/>
      <c r="L51" s="2074"/>
      <c r="M51" s="2074"/>
      <c r="N51" s="2074"/>
      <c r="O51" s="2074"/>
      <c r="P51" s="2074"/>
      <c r="Q51" s="2075"/>
      <c r="R51" s="2074"/>
      <c r="S51" s="2074"/>
    </row>
    <row r="52" spans="1:25" hidden="1" x14ac:dyDescent="0.2">
      <c r="A52" s="2073" t="s">
        <v>2179</v>
      </c>
      <c r="B52" s="1987"/>
      <c r="C52" s="2029"/>
      <c r="D52" s="1987"/>
      <c r="E52" s="1987"/>
      <c r="F52" s="1985"/>
      <c r="G52" s="2074"/>
      <c r="H52" s="2074"/>
      <c r="I52" s="2074"/>
      <c r="J52" s="2075"/>
      <c r="K52" s="2074"/>
      <c r="L52" s="2071"/>
      <c r="M52" s="2071"/>
      <c r="N52" s="2071"/>
      <c r="O52" s="2074"/>
      <c r="P52" s="2074"/>
      <c r="Q52" s="2075"/>
      <c r="R52" s="2074"/>
      <c r="S52" s="2074"/>
    </row>
    <row r="53" spans="1:25" hidden="1" x14ac:dyDescent="0.2">
      <c r="A53" s="2073" t="s">
        <v>2180</v>
      </c>
      <c r="B53" s="1987" t="s">
        <v>2181</v>
      </c>
      <c r="C53" s="2029">
        <v>84.126000000000005</v>
      </c>
      <c r="D53" s="1987"/>
      <c r="E53" s="2076" t="s">
        <v>2182</v>
      </c>
      <c r="F53" s="1985"/>
      <c r="G53" s="2077"/>
      <c r="H53" s="2078"/>
      <c r="I53" s="2077"/>
      <c r="J53" s="2077"/>
      <c r="K53" s="2077"/>
      <c r="L53" s="2077"/>
      <c r="M53" s="2071"/>
      <c r="N53" s="2079">
        <v>0</v>
      </c>
      <c r="O53" s="2071"/>
      <c r="P53" s="2071"/>
      <c r="Q53" s="2078"/>
      <c r="R53" s="2080">
        <f>K53+M53+P53</f>
        <v>0</v>
      </c>
      <c r="S53" s="2071"/>
    </row>
    <row r="54" spans="1:25" hidden="1" x14ac:dyDescent="0.2">
      <c r="A54" s="2073"/>
      <c r="B54" s="1987" t="s">
        <v>2251</v>
      </c>
      <c r="C54" s="2029"/>
      <c r="D54" s="1987"/>
      <c r="E54" s="1987"/>
      <c r="F54" s="1985"/>
      <c r="G54" s="2071"/>
      <c r="H54" s="2071"/>
      <c r="I54" s="2071"/>
      <c r="J54" s="2078"/>
      <c r="K54" s="2071"/>
      <c r="L54" s="2071"/>
      <c r="M54" s="2071"/>
      <c r="N54" s="2071"/>
      <c r="O54" s="2071"/>
      <c r="P54" s="2071"/>
      <c r="Q54" s="2078"/>
      <c r="R54" s="2071"/>
      <c r="S54" s="2071"/>
    </row>
    <row r="55" spans="1:25" hidden="1" x14ac:dyDescent="0.2">
      <c r="A55" s="2073"/>
      <c r="B55" s="2076" t="s">
        <v>2181</v>
      </c>
      <c r="C55" s="2050">
        <v>84.126000000000005</v>
      </c>
      <c r="D55" s="2076"/>
      <c r="E55" s="2076" t="s">
        <v>2183</v>
      </c>
      <c r="F55" s="2081"/>
      <c r="G55" s="2079">
        <v>0</v>
      </c>
      <c r="H55" s="2071"/>
      <c r="I55" s="2077"/>
      <c r="J55" s="2078"/>
      <c r="K55" s="2079">
        <v>0</v>
      </c>
      <c r="L55" s="2077"/>
      <c r="M55" s="2077"/>
      <c r="N55" s="2077"/>
      <c r="O55" s="2071"/>
      <c r="P55" s="2079">
        <v>0</v>
      </c>
      <c r="Q55" s="2078"/>
      <c r="R55" s="2077">
        <f>K55+M55+P55</f>
        <v>0</v>
      </c>
      <c r="S55" s="2071"/>
    </row>
    <row r="56" spans="1:25" hidden="1" x14ac:dyDescent="0.2">
      <c r="A56" s="2073"/>
      <c r="B56" s="1987" t="s">
        <v>2251</v>
      </c>
      <c r="C56" s="2029"/>
      <c r="D56" s="1987"/>
      <c r="E56" s="1987"/>
      <c r="F56" s="1985"/>
      <c r="G56" s="2022">
        <v>0</v>
      </c>
      <c r="H56" s="2071"/>
      <c r="I56" s="2022">
        <v>0</v>
      </c>
      <c r="J56" s="2078"/>
      <c r="K56" s="2022">
        <v>0</v>
      </c>
      <c r="L56" s="2079">
        <v>0</v>
      </c>
      <c r="M56" s="2022">
        <v>0</v>
      </c>
      <c r="N56" s="2079">
        <v>0</v>
      </c>
      <c r="O56" s="2071"/>
      <c r="P56" s="2022">
        <v>0</v>
      </c>
      <c r="Q56" s="2078"/>
      <c r="R56" s="2022">
        <v>0</v>
      </c>
      <c r="S56" s="2071"/>
    </row>
    <row r="57" spans="1:25" ht="15" hidden="1" x14ac:dyDescent="0.2">
      <c r="A57" s="2073"/>
      <c r="B57" s="1987"/>
      <c r="C57" s="2021" t="s">
        <v>2184</v>
      </c>
      <c r="D57" s="1987"/>
      <c r="E57" s="1987"/>
      <c r="F57" s="1985"/>
      <c r="G57" s="2082">
        <f>SUM(G53:G56)</f>
        <v>0</v>
      </c>
      <c r="H57" s="2071"/>
      <c r="I57" s="2082">
        <f>SUM(I53:I56)</f>
        <v>0</v>
      </c>
      <c r="J57" s="2078"/>
      <c r="K57" s="2082">
        <f>SUM(K53:K56)</f>
        <v>0</v>
      </c>
      <c r="L57" s="2071">
        <f>SUM(L53:L56)</f>
        <v>0</v>
      </c>
      <c r="M57" s="2082">
        <f>SUM(M53:M56)</f>
        <v>0</v>
      </c>
      <c r="N57" s="2071">
        <f>SUM(N53:N56)</f>
        <v>0</v>
      </c>
      <c r="O57" s="2071"/>
      <c r="P57" s="2082">
        <f>SUM(P53:P56)</f>
        <v>0</v>
      </c>
      <c r="Q57" s="2078"/>
      <c r="R57" s="2082">
        <f>SUM(R53:R56)</f>
        <v>0</v>
      </c>
      <c r="S57" s="2071"/>
    </row>
    <row r="58" spans="1:25" ht="6.75" customHeight="1" x14ac:dyDescent="0.2">
      <c r="A58" s="2083"/>
      <c r="B58" s="2028"/>
      <c r="C58" s="2029"/>
      <c r="D58" s="2030"/>
      <c r="E58" s="2049"/>
      <c r="F58" s="2030"/>
      <c r="G58" s="2084"/>
      <c r="H58" s="2031"/>
      <c r="I58" s="2085"/>
      <c r="J58" s="2031"/>
      <c r="K58" s="2084"/>
      <c r="L58" s="2086"/>
      <c r="M58" s="2084"/>
      <c r="N58" s="2086"/>
      <c r="O58" s="2087"/>
      <c r="P58" s="2084"/>
      <c r="Q58" s="2088"/>
      <c r="R58" s="2084"/>
      <c r="S58" s="2033"/>
    </row>
    <row r="59" spans="1:25" ht="18" customHeight="1" x14ac:dyDescent="0.2">
      <c r="A59" s="2089" t="s">
        <v>2185</v>
      </c>
      <c r="B59" s="1987"/>
      <c r="C59" s="2029"/>
      <c r="D59" s="1987"/>
      <c r="E59" s="1987"/>
      <c r="F59" s="1985"/>
      <c r="G59" s="2090">
        <f>SUM(G33,G48,G57)</f>
        <v>2137439</v>
      </c>
      <c r="H59" s="2074"/>
      <c r="I59" s="2082">
        <f>SUM(I33,I48,I57)</f>
        <v>4066416</v>
      </c>
      <c r="J59" s="2075"/>
      <c r="K59" s="2090">
        <f>SUM(K33,K48,K57)</f>
        <v>3577125</v>
      </c>
      <c r="L59" s="2074">
        <f>SUM(L33,L48,L57)</f>
        <v>0</v>
      </c>
      <c r="M59" s="2090">
        <f>SUM(M33,M48,M57)</f>
        <v>3653498</v>
      </c>
      <c r="N59" s="2074">
        <f>SUM(N33,N48,N57)</f>
        <v>0</v>
      </c>
      <c r="O59" s="2074"/>
      <c r="P59" s="2090">
        <f>SUM(P33,P48,P57)</f>
        <v>200000</v>
      </c>
      <c r="Q59" s="2075"/>
      <c r="R59" s="2090">
        <f>SUM(R33,R48,R57)</f>
        <v>7430623</v>
      </c>
      <c r="S59" s="2074"/>
    </row>
    <row r="60" spans="1:25" x14ac:dyDescent="0.2">
      <c r="A60" s="2089"/>
      <c r="B60" s="1987"/>
      <c r="C60" s="2029"/>
      <c r="D60" s="1987"/>
      <c r="E60" s="1987"/>
      <c r="F60" s="1985"/>
      <c r="G60" s="2074"/>
      <c r="H60" s="2074"/>
      <c r="I60" s="2071"/>
      <c r="J60" s="2075"/>
      <c r="K60" s="2074"/>
      <c r="L60" s="2074"/>
      <c r="M60" s="2074"/>
      <c r="N60" s="2074"/>
      <c r="O60" s="2074"/>
      <c r="P60" s="2074"/>
      <c r="Q60" s="2075"/>
      <c r="R60" s="2074"/>
      <c r="S60" s="2074"/>
    </row>
    <row r="61" spans="1:25" hidden="1" x14ac:dyDescent="0.2">
      <c r="A61" s="2073" t="s">
        <v>2186</v>
      </c>
      <c r="B61" s="1987"/>
      <c r="C61" s="2029"/>
      <c r="D61" s="1987"/>
      <c r="E61" s="1987"/>
      <c r="F61" s="1985"/>
      <c r="G61" s="2074"/>
      <c r="H61" s="2074"/>
      <c r="I61" s="2071"/>
      <c r="J61" s="2075"/>
      <c r="K61" s="2074"/>
      <c r="L61" s="2074"/>
      <c r="M61" s="2074"/>
      <c r="N61" s="2074"/>
      <c r="O61" s="2074"/>
      <c r="P61" s="2074"/>
      <c r="Q61" s="2075"/>
      <c r="R61" s="2074"/>
      <c r="S61" s="2074"/>
    </row>
    <row r="62" spans="1:25" hidden="1" x14ac:dyDescent="0.2">
      <c r="A62" s="2073" t="s">
        <v>2178</v>
      </c>
      <c r="B62" s="1987"/>
      <c r="C62" s="2029"/>
      <c r="D62" s="1987"/>
      <c r="E62" s="1987"/>
      <c r="F62" s="1985"/>
      <c r="G62" s="2074"/>
      <c r="H62" s="2074"/>
      <c r="I62" s="2071"/>
      <c r="J62" s="2075"/>
      <c r="K62" s="2074"/>
      <c r="L62" s="2074"/>
      <c r="M62" s="2074"/>
      <c r="N62" s="2074"/>
      <c r="O62" s="2074"/>
      <c r="P62" s="2074"/>
      <c r="Q62" s="2075"/>
      <c r="R62" s="2074"/>
      <c r="S62" s="2074"/>
    </row>
    <row r="63" spans="1:25" hidden="1" x14ac:dyDescent="0.2">
      <c r="A63" s="2073" t="s">
        <v>2179</v>
      </c>
      <c r="B63" s="1987"/>
      <c r="C63" s="2029"/>
      <c r="D63" s="1987"/>
      <c r="E63" s="1987"/>
      <c r="F63" s="1985"/>
      <c r="G63" s="2074"/>
      <c r="H63" s="2074"/>
      <c r="I63" s="2071"/>
      <c r="J63" s="2075"/>
      <c r="K63" s="2074"/>
      <c r="L63" s="2074"/>
      <c r="M63" s="2074"/>
      <c r="N63" s="2074"/>
      <c r="O63" s="2074"/>
      <c r="P63" s="2074"/>
      <c r="Q63" s="2075"/>
      <c r="R63" s="2074"/>
      <c r="S63" s="2074"/>
    </row>
    <row r="64" spans="1:25" hidden="1" x14ac:dyDescent="0.2">
      <c r="A64" s="2073"/>
      <c r="B64" s="1987" t="s">
        <v>2187</v>
      </c>
      <c r="C64" s="2029">
        <v>93.768000000000001</v>
      </c>
      <c r="D64" s="1987"/>
      <c r="E64" s="2076" t="s">
        <v>2188</v>
      </c>
      <c r="F64" s="1985"/>
      <c r="G64" s="2074"/>
      <c r="H64" s="2074"/>
      <c r="I64" s="2071"/>
      <c r="J64" s="2078"/>
      <c r="K64" s="2071"/>
      <c r="L64" s="2071"/>
      <c r="M64" s="2071"/>
      <c r="N64" s="2071"/>
      <c r="O64" s="2074"/>
      <c r="P64" s="2074"/>
      <c r="Q64" s="2075"/>
      <c r="R64" s="2091">
        <f>K64+M64+P64</f>
        <v>0</v>
      </c>
      <c r="S64" s="2074"/>
    </row>
    <row r="65" spans="1:19" hidden="1" x14ac:dyDescent="0.2">
      <c r="A65" s="2073"/>
      <c r="B65" s="1987" t="s">
        <v>2187</v>
      </c>
      <c r="C65" s="2029">
        <v>93.768000000000001</v>
      </c>
      <c r="D65" s="1987"/>
      <c r="E65" s="2076" t="s">
        <v>2189</v>
      </c>
      <c r="F65" s="1985"/>
      <c r="G65" s="2074"/>
      <c r="H65" s="2074"/>
      <c r="I65" s="2071"/>
      <c r="J65" s="2075"/>
      <c r="K65" s="2074"/>
      <c r="L65" s="2092"/>
      <c r="M65" s="2092"/>
      <c r="N65" s="2092"/>
      <c r="O65" s="2074"/>
      <c r="P65" s="2074"/>
      <c r="Q65" s="2075"/>
      <c r="R65" s="2091">
        <f>K65+M65+P65</f>
        <v>0</v>
      </c>
      <c r="S65" s="2074"/>
    </row>
    <row r="66" spans="1:19" hidden="1" x14ac:dyDescent="0.2">
      <c r="A66" s="2073"/>
      <c r="B66" s="1987"/>
      <c r="C66" s="2029"/>
      <c r="D66" s="1987"/>
      <c r="E66" s="1987"/>
      <c r="F66" s="1985"/>
      <c r="G66" s="2074"/>
      <c r="H66" s="2074"/>
      <c r="I66" s="2071"/>
      <c r="J66" s="2075"/>
      <c r="K66" s="2074"/>
      <c r="L66" s="2074"/>
      <c r="M66" s="2074"/>
      <c r="N66" s="2074"/>
      <c r="O66" s="2074"/>
      <c r="P66" s="2074"/>
      <c r="Q66" s="2075"/>
      <c r="R66" s="2074"/>
      <c r="S66" s="2074"/>
    </row>
    <row r="67" spans="1:19" x14ac:dyDescent="0.2">
      <c r="A67" s="2073" t="s">
        <v>2178</v>
      </c>
      <c r="B67" s="1987"/>
      <c r="C67" s="2029"/>
      <c r="D67" s="1987"/>
      <c r="E67" s="1987"/>
      <c r="F67" s="1985"/>
      <c r="G67" s="2074"/>
      <c r="H67" s="2074"/>
      <c r="I67" s="2071"/>
      <c r="J67" s="2075"/>
      <c r="K67" s="2074"/>
      <c r="L67" s="2074"/>
      <c r="M67" s="2074"/>
      <c r="N67" s="2074"/>
      <c r="O67" s="2074"/>
      <c r="P67" s="2074"/>
      <c r="Q67" s="2075"/>
      <c r="R67" s="2074"/>
      <c r="S67" s="2074"/>
    </row>
    <row r="68" spans="1:19" x14ac:dyDescent="0.2">
      <c r="A68" s="2073" t="s">
        <v>2190</v>
      </c>
      <c r="B68" s="1987"/>
      <c r="C68" s="2029"/>
      <c r="D68" s="1987"/>
      <c r="E68" s="1987"/>
      <c r="F68" s="1985"/>
      <c r="G68" s="2074"/>
      <c r="H68" s="2074"/>
      <c r="I68" s="2071" t="s">
        <v>1169</v>
      </c>
      <c r="J68" s="2075"/>
      <c r="K68" s="2074"/>
      <c r="L68" s="2074"/>
      <c r="M68" s="2074"/>
      <c r="N68" s="2074"/>
      <c r="O68" s="2074"/>
      <c r="P68" s="2074"/>
      <c r="Q68" s="2075"/>
      <c r="R68" s="2074"/>
      <c r="S68" s="2074"/>
    </row>
    <row r="69" spans="1:19" x14ac:dyDescent="0.2">
      <c r="A69" s="2073"/>
      <c r="B69" s="1987"/>
      <c r="C69" s="2029"/>
      <c r="D69" s="1987"/>
      <c r="E69" s="1987"/>
      <c r="F69" s="1985"/>
      <c r="G69" s="2074"/>
      <c r="H69" s="2074"/>
      <c r="I69" s="2071"/>
      <c r="J69" s="2075"/>
      <c r="K69" s="2074"/>
      <c r="L69" s="2074"/>
      <c r="M69" s="2074"/>
      <c r="N69" s="2074"/>
      <c r="O69" s="2074"/>
      <c r="P69" s="2074"/>
      <c r="Q69" s="2075"/>
      <c r="R69" s="2074"/>
      <c r="S69" s="2074"/>
    </row>
    <row r="70" spans="1:19" x14ac:dyDescent="0.2">
      <c r="A70" s="2073"/>
      <c r="B70" s="1987" t="s">
        <v>2191</v>
      </c>
      <c r="C70" s="2029">
        <v>93.778000000000006</v>
      </c>
      <c r="D70" s="1987"/>
      <c r="E70" s="2093" t="s">
        <v>2192</v>
      </c>
      <c r="F70" s="2081"/>
      <c r="G70" s="2077">
        <v>33406</v>
      </c>
      <c r="H70" s="2094"/>
      <c r="I70" s="2077">
        <v>13466</v>
      </c>
      <c r="J70" s="2094">
        <v>0</v>
      </c>
      <c r="K70" s="2077">
        <v>48826</v>
      </c>
      <c r="L70" s="2077"/>
      <c r="M70" s="2077"/>
      <c r="N70" s="2077"/>
      <c r="O70" s="2094"/>
      <c r="P70" s="2077">
        <f>SUM(P60:P68)</f>
        <v>0</v>
      </c>
      <c r="Q70" s="2095"/>
      <c r="R70" s="2091">
        <f>K70+M70+P70</f>
        <v>48826</v>
      </c>
      <c r="S70" s="2074"/>
    </row>
    <row r="71" spans="1:19" ht="15" x14ac:dyDescent="0.2">
      <c r="A71" s="2073"/>
      <c r="B71" s="2076" t="s">
        <v>2191</v>
      </c>
      <c r="C71" s="2050">
        <v>93.778000000000006</v>
      </c>
      <c r="D71" s="2076"/>
      <c r="E71" s="2093" t="s">
        <v>2193</v>
      </c>
      <c r="F71" s="2081"/>
      <c r="G71" s="2096">
        <f>SUM(G67:G69)</f>
        <v>0</v>
      </c>
      <c r="H71" s="2094"/>
      <c r="I71" s="2096">
        <v>25978</v>
      </c>
      <c r="J71" s="2094"/>
      <c r="K71" s="2096">
        <f>SUM(K67:K69)</f>
        <v>0</v>
      </c>
      <c r="L71" s="2096"/>
      <c r="M71" s="2096">
        <v>36080</v>
      </c>
      <c r="N71" s="2096"/>
      <c r="O71" s="2094"/>
      <c r="P71" s="2096">
        <f>SUM(P67:P69)</f>
        <v>0</v>
      </c>
      <c r="Q71" s="2094"/>
      <c r="R71" s="2097">
        <f>K71+M71+P71</f>
        <v>36080</v>
      </c>
      <c r="S71" s="2071"/>
    </row>
    <row r="72" spans="1:19" ht="15" x14ac:dyDescent="0.2">
      <c r="A72" s="1985"/>
      <c r="B72" s="1987"/>
      <c r="C72" s="2021" t="s">
        <v>2194</v>
      </c>
      <c r="D72" s="1987"/>
      <c r="E72" s="1987"/>
      <c r="F72" s="1985"/>
      <c r="G72" s="2097"/>
      <c r="H72" s="2095"/>
      <c r="I72" s="2097"/>
      <c r="J72" s="2095"/>
      <c r="K72" s="2097"/>
      <c r="L72" s="2097"/>
      <c r="M72" s="2097"/>
      <c r="N72" s="2097"/>
      <c r="O72" s="2095"/>
      <c r="P72" s="2097"/>
      <c r="Q72" s="2095"/>
      <c r="R72" s="2098"/>
      <c r="S72" s="2074"/>
    </row>
    <row r="73" spans="1:19" ht="17.25" customHeight="1" x14ac:dyDescent="0.2">
      <c r="A73" s="2073" t="s">
        <v>2195</v>
      </c>
      <c r="B73" s="1987"/>
      <c r="C73" s="2029"/>
      <c r="D73" s="1987"/>
      <c r="E73" s="1987"/>
      <c r="F73" s="1985"/>
      <c r="G73" s="2097">
        <f>SUM(G63:G72)</f>
        <v>33406</v>
      </c>
      <c r="H73" s="2095"/>
      <c r="I73" s="2097">
        <f>SUM(I63:I72)</f>
        <v>39444</v>
      </c>
      <c r="J73" s="2095"/>
      <c r="K73" s="2097">
        <f>SUM(K63:K72)</f>
        <v>48826</v>
      </c>
      <c r="L73" s="2097"/>
      <c r="M73" s="2097">
        <f>SUM(M63:M72)</f>
        <v>36080</v>
      </c>
      <c r="N73" s="2097"/>
      <c r="O73" s="2095"/>
      <c r="P73" s="2097">
        <f>SUM(P63:P72)</f>
        <v>0</v>
      </c>
      <c r="Q73" s="2095"/>
      <c r="R73" s="2097">
        <f>SUM(R63:R72)</f>
        <v>84906</v>
      </c>
      <c r="S73" s="2074"/>
    </row>
    <row r="74" spans="1:19" s="1977" customFormat="1" x14ac:dyDescent="0.2">
      <c r="A74" s="1985"/>
      <c r="B74" s="1987"/>
      <c r="C74" s="1987"/>
      <c r="D74" s="1987"/>
      <c r="E74" s="1987"/>
      <c r="F74" s="1985"/>
      <c r="G74" s="2074"/>
      <c r="H74" s="2074"/>
      <c r="I74" s="2074"/>
      <c r="J74" s="2075"/>
      <c r="K74" s="2074"/>
      <c r="L74" s="2074"/>
      <c r="M74" s="2074"/>
      <c r="N74" s="2074"/>
      <c r="O74" s="2074"/>
      <c r="P74" s="2074"/>
      <c r="Q74" s="2075"/>
      <c r="R74" s="2074"/>
      <c r="S74" s="2074"/>
    </row>
    <row r="75" spans="1:19" ht="16.5" customHeight="1" x14ac:dyDescent="0.2">
      <c r="A75" s="2099" t="s">
        <v>2196</v>
      </c>
      <c r="B75" s="1987"/>
      <c r="C75" s="2100"/>
      <c r="D75" s="1987"/>
      <c r="E75" s="1987"/>
      <c r="F75" s="1985"/>
      <c r="G75" s="2034">
        <f>+G22+G33+G48</f>
        <v>2161299</v>
      </c>
      <c r="H75" s="2034"/>
      <c r="I75" s="2034">
        <f>+I22+I33+I48</f>
        <v>4104798</v>
      </c>
      <c r="J75" s="2034"/>
      <c r="K75" s="2034">
        <f>+K22+K33+K48</f>
        <v>3604393</v>
      </c>
      <c r="L75" s="2034"/>
      <c r="M75" s="2034">
        <f>+M22+M33+M48</f>
        <v>3688472</v>
      </c>
      <c r="N75" s="2034"/>
      <c r="O75" s="2034"/>
      <c r="P75" s="2034">
        <f>+P22+P33+P48</f>
        <v>200000</v>
      </c>
      <c r="Q75" s="2034"/>
      <c r="R75" s="2034">
        <f>+R22+R33+R48</f>
        <v>7492865</v>
      </c>
      <c r="S75" s="2101" t="s">
        <v>1169</v>
      </c>
    </row>
    <row r="76" spans="1:19" ht="15" x14ac:dyDescent="0.2">
      <c r="A76" s="2102"/>
      <c r="B76" s="1987"/>
      <c r="C76" s="2100"/>
      <c r="D76" s="1987"/>
      <c r="E76" s="1987"/>
      <c r="F76" s="1985"/>
      <c r="G76" s="2103"/>
      <c r="H76" s="2103"/>
      <c r="I76" s="2103"/>
      <c r="J76" s="2103"/>
      <c r="K76" s="2103"/>
      <c r="L76" s="2103"/>
      <c r="M76" s="2103"/>
      <c r="N76" s="2103"/>
      <c r="O76" s="2103"/>
      <c r="P76" s="2103"/>
      <c r="Q76" s="2103"/>
      <c r="R76" s="2103"/>
      <c r="S76" s="2101"/>
    </row>
    <row r="77" spans="1:19" ht="16.5" customHeight="1" x14ac:dyDescent="0.2">
      <c r="A77" s="2102" t="s">
        <v>2197</v>
      </c>
      <c r="B77" s="1987"/>
      <c r="C77" s="2100"/>
      <c r="D77" s="1987"/>
      <c r="E77" s="1987"/>
      <c r="F77" s="1985"/>
      <c r="G77" s="2031">
        <f>G57+G73</f>
        <v>33406</v>
      </c>
      <c r="H77" s="2031"/>
      <c r="I77" s="2031">
        <f>I57+I73</f>
        <v>39444</v>
      </c>
      <c r="J77" s="2031"/>
      <c r="K77" s="2031">
        <f>K57+K73</f>
        <v>48826</v>
      </c>
      <c r="L77" s="2031"/>
      <c r="M77" s="2031">
        <f>M57+M73</f>
        <v>36080</v>
      </c>
      <c r="N77" s="2031"/>
      <c r="O77" s="2031"/>
      <c r="P77" s="2031">
        <f>P57+P73</f>
        <v>0</v>
      </c>
      <c r="Q77" s="2031"/>
      <c r="R77" s="2031">
        <f>R57+R73</f>
        <v>84906</v>
      </c>
      <c r="S77" s="2101"/>
    </row>
    <row r="78" spans="1:19" ht="15" x14ac:dyDescent="0.2">
      <c r="A78" s="2102"/>
      <c r="B78" s="1987"/>
      <c r="C78" s="2100"/>
      <c r="D78" s="1987"/>
      <c r="E78" s="1987"/>
      <c r="F78" s="1985"/>
      <c r="G78" s="2103"/>
      <c r="H78" s="2103"/>
      <c r="I78" s="2103"/>
      <c r="J78" s="2103"/>
      <c r="K78" s="2103"/>
      <c r="L78" s="2103"/>
      <c r="M78" s="2103"/>
      <c r="N78" s="2103"/>
      <c r="O78" s="2103"/>
      <c r="P78" s="2103"/>
      <c r="Q78" s="2103"/>
      <c r="R78" s="2103"/>
      <c r="S78" s="2101"/>
    </row>
    <row r="79" spans="1:19" ht="18.75" customHeight="1" x14ac:dyDescent="0.2">
      <c r="A79" s="2102" t="s">
        <v>2198</v>
      </c>
      <c r="B79" s="1987"/>
      <c r="C79" s="2100"/>
      <c r="D79" s="1987"/>
      <c r="E79" s="1987"/>
      <c r="F79" s="1985"/>
      <c r="G79" s="2104">
        <f>G75+G77</f>
        <v>2194705</v>
      </c>
      <c r="H79" s="2104"/>
      <c r="I79" s="2104">
        <f>I75+I77</f>
        <v>4144242</v>
      </c>
      <c r="J79" s="2104"/>
      <c r="K79" s="2104">
        <f t="shared" ref="K79:R79" si="0">K75+K77</f>
        <v>3653219</v>
      </c>
      <c r="L79" s="2104"/>
      <c r="M79" s="2104">
        <f t="shared" si="0"/>
        <v>3724552</v>
      </c>
      <c r="N79" s="2104"/>
      <c r="O79" s="2104"/>
      <c r="P79" s="2104">
        <f t="shared" si="0"/>
        <v>200000</v>
      </c>
      <c r="Q79" s="2104"/>
      <c r="R79" s="2104">
        <f t="shared" si="0"/>
        <v>7577771</v>
      </c>
      <c r="S79" s="2101"/>
    </row>
    <row r="80" spans="1:19" ht="15" customHeight="1" x14ac:dyDescent="0.2">
      <c r="A80" s="1987" t="s">
        <v>2199</v>
      </c>
      <c r="B80" s="1992"/>
      <c r="C80" s="1992"/>
      <c r="D80" s="1992"/>
      <c r="E80" s="1992"/>
      <c r="F80" s="1989"/>
      <c r="G80" s="2105"/>
      <c r="H80" s="2105"/>
      <c r="I80" s="2105"/>
      <c r="J80" s="2106"/>
      <c r="K80" s="2105"/>
      <c r="L80" s="2105"/>
      <c r="M80" s="2105"/>
      <c r="N80" s="2105"/>
      <c r="O80" s="2105"/>
      <c r="P80" s="2105"/>
      <c r="Q80" s="2106"/>
      <c r="R80" s="2105"/>
      <c r="S80" s="2105"/>
    </row>
    <row r="81" spans="1:19" ht="15" customHeight="1" x14ac:dyDescent="0.2">
      <c r="A81" s="2107" t="s">
        <v>2200</v>
      </c>
      <c r="B81" s="1992"/>
      <c r="C81" s="1992"/>
      <c r="D81" s="1992"/>
      <c r="E81" s="1992"/>
      <c r="F81" s="1989"/>
      <c r="G81" s="2105"/>
      <c r="H81" s="2105"/>
      <c r="I81" s="2105"/>
      <c r="J81" s="2106"/>
      <c r="K81" s="2105"/>
      <c r="L81" s="2105"/>
      <c r="M81" s="2105"/>
      <c r="N81" s="2105"/>
      <c r="O81" s="2105"/>
      <c r="P81" s="2105"/>
      <c r="Q81" s="2106"/>
      <c r="R81" s="2105"/>
      <c r="S81" s="2105"/>
    </row>
    <row r="82" spans="1:19" ht="15" customHeight="1" x14ac:dyDescent="0.2">
      <c r="A82" s="2028" t="s">
        <v>2201</v>
      </c>
      <c r="B82" s="2108"/>
      <c r="C82" s="1992"/>
      <c r="D82" s="1992"/>
      <c r="E82" s="1992"/>
      <c r="F82" s="1989"/>
      <c r="G82" s="2105"/>
      <c r="H82" s="2105"/>
      <c r="I82" s="2105"/>
      <c r="J82" s="2106"/>
      <c r="K82" s="2105" t="s">
        <v>1169</v>
      </c>
      <c r="L82" s="2105"/>
      <c r="M82" s="2109"/>
      <c r="N82" s="2109"/>
      <c r="O82" s="2109"/>
      <c r="P82" s="2105"/>
      <c r="Q82" s="2106"/>
      <c r="R82" s="2105"/>
      <c r="S82" s="2105"/>
    </row>
    <row r="83" spans="1:19" ht="15" customHeight="1" x14ac:dyDescent="0.35">
      <c r="A83" s="2028"/>
      <c r="B83" s="1992"/>
      <c r="C83" s="1992"/>
      <c r="D83" s="1992"/>
      <c r="E83" s="1992"/>
      <c r="F83" s="1989"/>
      <c r="G83" s="2111" t="s">
        <v>1169</v>
      </c>
      <c r="H83" s="2105"/>
      <c r="I83" s="2111" t="s">
        <v>1169</v>
      </c>
      <c r="J83" s="2106"/>
      <c r="K83" s="2111" t="s">
        <v>1169</v>
      </c>
      <c r="L83" s="2105"/>
      <c r="M83" s="2112"/>
      <c r="N83" s="2112"/>
      <c r="O83" s="2109"/>
      <c r="P83" s="2111" t="s">
        <v>1169</v>
      </c>
      <c r="Q83" s="2106"/>
      <c r="R83" s="2111" t="s">
        <v>1169</v>
      </c>
      <c r="S83" s="2105"/>
    </row>
    <row r="84" spans="1:19" ht="15" customHeight="1" x14ac:dyDescent="0.2">
      <c r="A84" s="1986"/>
      <c r="C84" s="2113"/>
      <c r="G84" s="2114"/>
      <c r="H84" s="2114"/>
      <c r="I84" s="2114" t="s">
        <v>1169</v>
      </c>
      <c r="J84" s="2115"/>
      <c r="K84" s="2114"/>
      <c r="L84" s="2114"/>
      <c r="M84" s="2116"/>
      <c r="N84" s="2116"/>
      <c r="O84" s="2116"/>
      <c r="P84" s="2114"/>
      <c r="Q84" s="2115"/>
      <c r="R84" s="2114"/>
      <c r="S84" s="2114"/>
    </row>
    <row r="85" spans="1:19" x14ac:dyDescent="0.2">
      <c r="A85" s="2117"/>
      <c r="C85" s="2113"/>
      <c r="G85" s="2114"/>
      <c r="H85" s="2114"/>
      <c r="I85" s="2118"/>
      <c r="J85" s="2115"/>
      <c r="K85" s="2114"/>
      <c r="L85" s="2114"/>
      <c r="M85" s="2116"/>
      <c r="N85" s="2116"/>
      <c r="O85" s="2116"/>
      <c r="P85" s="2114"/>
      <c r="Q85" s="2115"/>
      <c r="R85" s="2114"/>
      <c r="S85" s="2114"/>
    </row>
    <row r="86" spans="1:19" x14ac:dyDescent="0.2">
      <c r="C86" s="2113"/>
      <c r="G86" s="2114"/>
      <c r="H86" s="2114"/>
      <c r="I86" s="2114"/>
      <c r="J86" s="2115"/>
      <c r="K86" s="2114"/>
      <c r="L86" s="2114"/>
      <c r="M86" s="2114"/>
      <c r="N86" s="2114"/>
      <c r="O86" s="2114"/>
      <c r="P86" s="2114"/>
      <c r="Q86" s="2115"/>
      <c r="R86" s="2114"/>
      <c r="S86" s="2114"/>
    </row>
    <row r="87" spans="1:19" x14ac:dyDescent="0.2">
      <c r="C87" s="2113"/>
      <c r="G87" s="2114"/>
      <c r="H87" s="2114"/>
      <c r="I87" s="2114"/>
      <c r="J87" s="2115"/>
      <c r="K87" s="2114"/>
      <c r="L87" s="2114"/>
      <c r="M87" s="2114"/>
      <c r="N87" s="2114"/>
      <c r="O87" s="2114"/>
      <c r="P87" s="2114"/>
      <c r="Q87" s="2115"/>
      <c r="R87" s="2114"/>
      <c r="S87" s="2114"/>
    </row>
    <row r="88" spans="1:19" s="2120" customFormat="1" x14ac:dyDescent="0.2">
      <c r="A88" s="2119"/>
      <c r="C88" s="2121"/>
      <c r="F88" s="2122"/>
      <c r="G88" s="2123"/>
      <c r="H88" s="2123"/>
      <c r="I88" s="2123"/>
      <c r="J88" s="2124"/>
      <c r="K88" s="2123"/>
      <c r="L88" s="2123"/>
      <c r="M88" s="2123"/>
      <c r="N88" s="2123"/>
      <c r="O88" s="2123"/>
      <c r="P88" s="2123"/>
      <c r="Q88" s="2124"/>
      <c r="R88" s="2123"/>
      <c r="S88" s="2123"/>
    </row>
    <row r="89" spans="1:19" s="2125" customFormat="1" ht="13.5" customHeight="1" x14ac:dyDescent="0.2">
      <c r="A89" s="2644" t="s">
        <v>1169</v>
      </c>
      <c r="B89" s="2644"/>
      <c r="C89" s="2644"/>
      <c r="D89" s="2644"/>
      <c r="E89" s="2644"/>
      <c r="F89" s="2644"/>
      <c r="G89" s="2644"/>
      <c r="H89" s="2644"/>
      <c r="I89" s="2644"/>
      <c r="J89" s="2644"/>
      <c r="K89" s="2644"/>
      <c r="L89" s="2644"/>
      <c r="M89" s="2644"/>
      <c r="N89" s="2144"/>
    </row>
    <row r="90" spans="1:19" s="2125" customFormat="1" ht="13.5" customHeight="1" x14ac:dyDescent="0.2">
      <c r="A90" s="2645" t="s">
        <v>1169</v>
      </c>
      <c r="B90" s="2645"/>
      <c r="C90" s="2645"/>
      <c r="D90" s="2645"/>
      <c r="E90" s="2645"/>
      <c r="F90" s="2645"/>
      <c r="G90" s="2645"/>
      <c r="H90" s="2645"/>
      <c r="I90" s="2645"/>
      <c r="J90" s="2645"/>
      <c r="K90" s="2645"/>
      <c r="L90" s="2645"/>
      <c r="M90" s="2645"/>
      <c r="N90" s="2145"/>
    </row>
    <row r="91" spans="1:19" s="2125" customFormat="1" ht="13.5" customHeight="1" x14ac:dyDescent="0.2">
      <c r="A91" s="2644" t="s">
        <v>1169</v>
      </c>
      <c r="B91" s="2644"/>
      <c r="C91" s="2644"/>
      <c r="D91" s="2644"/>
      <c r="E91" s="2644"/>
      <c r="F91" s="2644"/>
      <c r="G91" s="2644"/>
      <c r="H91" s="2644"/>
      <c r="I91" s="2644"/>
      <c r="J91" s="2644"/>
      <c r="K91" s="2644"/>
      <c r="L91" s="2644"/>
      <c r="M91" s="2644"/>
      <c r="N91" s="2144"/>
    </row>
    <row r="92" spans="1:19" s="2125" customFormat="1" ht="13.5" customHeight="1" x14ac:dyDescent="0.2">
      <c r="A92" s="2126" t="s">
        <v>1169</v>
      </c>
      <c r="B92" s="2126"/>
      <c r="C92" s="2126"/>
      <c r="D92" s="2126"/>
      <c r="E92" s="2126"/>
      <c r="F92" s="2126"/>
      <c r="G92" s="2126"/>
      <c r="H92" s="2126"/>
      <c r="I92" s="2126"/>
      <c r="J92" s="2126"/>
      <c r="K92" s="2126"/>
      <c r="L92" s="2126"/>
      <c r="M92" s="2126"/>
      <c r="N92" s="2126"/>
    </row>
    <row r="93" spans="1:19" s="2125" customFormat="1" ht="13.5" customHeight="1" x14ac:dyDescent="0.2">
      <c r="A93" s="2127" t="s">
        <v>1169</v>
      </c>
      <c r="B93" s="2128"/>
      <c r="C93" s="2129"/>
      <c r="D93" s="2130"/>
      <c r="E93" s="2130"/>
      <c r="F93" s="2130"/>
      <c r="G93" s="2130"/>
      <c r="H93" s="2130"/>
      <c r="I93" s="2130"/>
      <c r="J93" s="2130"/>
    </row>
    <row r="94" spans="1:19" s="2125" customFormat="1" ht="13.5" customHeight="1" x14ac:dyDescent="0.2">
      <c r="A94" s="2127" t="s">
        <v>1169</v>
      </c>
      <c r="B94" s="2128"/>
      <c r="C94" s="2129"/>
      <c r="D94" s="2130"/>
      <c r="E94" s="2130"/>
      <c r="F94" s="2130"/>
      <c r="G94" s="2130"/>
      <c r="H94" s="2130"/>
      <c r="I94" s="2130"/>
      <c r="J94" s="2130"/>
    </row>
    <row r="95" spans="1:19" s="2125" customFormat="1" ht="13.5" customHeight="1" x14ac:dyDescent="0.2">
      <c r="A95" s="2130" t="s">
        <v>1169</v>
      </c>
      <c r="B95" s="2131"/>
      <c r="C95" s="2132"/>
    </row>
    <row r="96" spans="1:19" s="2125" customFormat="1" ht="13.5" customHeight="1" x14ac:dyDescent="0.2">
      <c r="A96" s="2130" t="s">
        <v>1169</v>
      </c>
      <c r="B96" s="2131"/>
      <c r="C96" s="2132"/>
    </row>
    <row r="97" spans="1:10" s="2125" customFormat="1" ht="13.5" customHeight="1" x14ac:dyDescent="0.2">
      <c r="A97" s="2130" t="s">
        <v>1169</v>
      </c>
      <c r="B97" s="2131"/>
      <c r="C97" s="2132"/>
    </row>
    <row r="98" spans="1:10" s="2133" customFormat="1" ht="13.5" customHeight="1" x14ac:dyDescent="0.15">
      <c r="B98" s="2134"/>
      <c r="C98" s="2135"/>
      <c r="F98" s="2136"/>
      <c r="G98" s="2136"/>
      <c r="H98" s="2136"/>
      <c r="I98" s="2136"/>
      <c r="J98" s="2137"/>
    </row>
  </sheetData>
  <mergeCells count="9">
    <mergeCell ref="A89:M89"/>
    <mergeCell ref="A90:M90"/>
    <mergeCell ref="A91:M91"/>
    <mergeCell ref="A1:S1"/>
    <mergeCell ref="A2:S2"/>
    <mergeCell ref="A3:S3"/>
    <mergeCell ref="A4:S4"/>
    <mergeCell ref="K5:N5"/>
    <mergeCell ref="G6:I6"/>
  </mergeCells>
  <printOptions horizontalCentered="1" gridLinesSet="0"/>
  <pageMargins left="0.5" right="0.5" top="0.5" bottom="0.25" header="0.5" footer="0.25"/>
  <pageSetup scale="70" fitToHeight="2" orientation="landscape" r:id="rId1"/>
  <headerFooter alignWithMargins="0">
    <oddFooter>&amp;L&amp;"Garamond,Regular"See the accompanying notes to the Schedule of Expenditures of Federal Awards.</oddFooter>
  </headerFooter>
  <rowBreaks count="1" manualBreakCount="1">
    <brk id="59"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61" t="s">
        <v>1168</v>
      </c>
      <c r="B2" s="2261"/>
      <c r="C2" s="2261"/>
      <c r="D2" s="2261"/>
      <c r="E2" s="2261"/>
      <c r="F2" s="2261"/>
      <c r="G2" s="2261"/>
      <c r="H2" s="2261"/>
      <c r="I2" s="2261"/>
      <c r="J2" s="22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2067</v>
      </c>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75" t="s">
        <v>1633</v>
      </c>
      <c r="B35" s="2276"/>
      <c r="C35" s="2276"/>
      <c r="D35" s="2276"/>
      <c r="E35" s="2277"/>
      <c r="F35" s="2277"/>
      <c r="G35" s="2277"/>
      <c r="H35" s="2277"/>
      <c r="I35" s="22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75" t="s">
        <v>313</v>
      </c>
      <c r="B47" s="2278"/>
      <c r="C47" s="2278"/>
      <c r="D47" s="2278"/>
      <c r="E47" s="2279"/>
      <c r="F47" s="2279"/>
      <c r="G47" s="2279"/>
      <c r="H47" s="2279"/>
      <c r="I47" s="22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2079</v>
      </c>
      <c r="C53" s="179">
        <v>22</v>
      </c>
      <c r="D53" s="247" t="s">
        <v>1462</v>
      </c>
      <c r="E53" s="248"/>
      <c r="F53" s="249"/>
      <c r="G53" s="249" t="s">
        <v>1461</v>
      </c>
      <c r="H53" s="250">
        <v>35521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82"/>
      <c r="C57" s="2283"/>
      <c r="D57" s="2283"/>
      <c r="E57" s="2283"/>
      <c r="F57" s="2283"/>
      <c r="G57" s="2283"/>
      <c r="H57" s="2283"/>
      <c r="I57" s="2283"/>
      <c r="J57" s="2284"/>
    </row>
    <row r="58" spans="1:10" s="181" customFormat="1" x14ac:dyDescent="0.2">
      <c r="A58" s="253"/>
      <c r="B58" s="2285"/>
      <c r="C58" s="2286"/>
      <c r="D58" s="2286"/>
      <c r="E58" s="2286"/>
      <c r="F58" s="2286"/>
      <c r="G58" s="2286"/>
      <c r="H58" s="2286"/>
      <c r="I58" s="2286"/>
      <c r="J58" s="2287"/>
    </row>
    <row r="59" spans="1:10" s="181" customFormat="1" x14ac:dyDescent="0.2">
      <c r="A59" s="253"/>
      <c r="B59" s="2285"/>
      <c r="C59" s="2286"/>
      <c r="D59" s="2286"/>
      <c r="E59" s="2286"/>
      <c r="F59" s="2286"/>
      <c r="G59" s="2286"/>
      <c r="H59" s="2286"/>
      <c r="I59" s="2286"/>
      <c r="J59" s="2287"/>
    </row>
    <row r="60" spans="1:10" s="181" customFormat="1" x14ac:dyDescent="0.2">
      <c r="A60" s="253"/>
      <c r="B60" s="2285"/>
      <c r="C60" s="2286"/>
      <c r="D60" s="2286"/>
      <c r="E60" s="2286"/>
      <c r="F60" s="2286"/>
      <c r="G60" s="2286"/>
      <c r="H60" s="2286"/>
      <c r="I60" s="2286"/>
      <c r="J60" s="2287"/>
    </row>
    <row r="61" spans="1:10" s="181" customFormat="1" x14ac:dyDescent="0.2">
      <c r="A61" s="253"/>
      <c r="B61" s="2285"/>
      <c r="C61" s="2286"/>
      <c r="D61" s="2286"/>
      <c r="E61" s="2286"/>
      <c r="F61" s="2286"/>
      <c r="G61" s="2286"/>
      <c r="H61" s="2286"/>
      <c r="I61" s="2286"/>
      <c r="J61" s="2287"/>
    </row>
    <row r="62" spans="1:10" s="181" customFormat="1" x14ac:dyDescent="0.2">
      <c r="A62" s="253"/>
      <c r="B62" s="2285"/>
      <c r="C62" s="2286"/>
      <c r="D62" s="2286"/>
      <c r="E62" s="2286"/>
      <c r="F62" s="2286"/>
      <c r="G62" s="2286"/>
      <c r="H62" s="2286"/>
      <c r="I62" s="2286"/>
      <c r="J62" s="2287"/>
    </row>
    <row r="63" spans="1:10" s="181" customFormat="1" x14ac:dyDescent="0.2">
      <c r="A63" s="253"/>
      <c r="B63" s="2285"/>
      <c r="C63" s="2286"/>
      <c r="D63" s="2286"/>
      <c r="E63" s="2286"/>
      <c r="F63" s="2286"/>
      <c r="G63" s="2286"/>
      <c r="H63" s="2286"/>
      <c r="I63" s="2286"/>
      <c r="J63" s="2287"/>
    </row>
    <row r="64" spans="1:10" s="181" customFormat="1" x14ac:dyDescent="0.2">
      <c r="A64" s="253"/>
      <c r="B64" s="2285"/>
      <c r="C64" s="2286"/>
      <c r="D64" s="2286"/>
      <c r="E64" s="2286"/>
      <c r="F64" s="2286"/>
      <c r="G64" s="2286"/>
      <c r="H64" s="2286"/>
      <c r="I64" s="2286"/>
      <c r="J64" s="2287"/>
    </row>
    <row r="65" spans="1:10" s="181" customFormat="1" x14ac:dyDescent="0.2">
      <c r="A65" s="253"/>
      <c r="B65" s="2285"/>
      <c r="C65" s="2286"/>
      <c r="D65" s="2286"/>
      <c r="E65" s="2286"/>
      <c r="F65" s="2286"/>
      <c r="G65" s="2286"/>
      <c r="H65" s="2286"/>
      <c r="I65" s="2286"/>
      <c r="J65" s="2287"/>
    </row>
    <row r="66" spans="1:10" s="181" customFormat="1" x14ac:dyDescent="0.2">
      <c r="A66" s="253"/>
      <c r="B66" s="2285"/>
      <c r="C66" s="2286"/>
      <c r="D66" s="2286"/>
      <c r="E66" s="2286"/>
      <c r="F66" s="2286"/>
      <c r="G66" s="2286"/>
      <c r="H66" s="2286"/>
      <c r="I66" s="2286"/>
      <c r="J66" s="2287"/>
    </row>
    <row r="67" spans="1:10" s="181" customFormat="1" ht="9" customHeight="1" x14ac:dyDescent="0.2">
      <c r="A67" s="254"/>
      <c r="B67" s="2288"/>
      <c r="C67" s="2289"/>
      <c r="D67" s="2289"/>
      <c r="E67" s="2289"/>
      <c r="F67" s="2289"/>
      <c r="G67" s="2289"/>
      <c r="H67" s="2289"/>
      <c r="I67" s="2289"/>
      <c r="J67" s="22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75" t="s">
        <v>1323</v>
      </c>
      <c r="B70" s="2278"/>
      <c r="C70" s="2278"/>
      <c r="D70" s="2278"/>
      <c r="E70" s="2279"/>
      <c r="F70" s="2279"/>
      <c r="G70" s="2279"/>
      <c r="H70" s="2279"/>
      <c r="I70" s="22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80" t="s">
        <v>1320</v>
      </c>
      <c r="B83" s="2280"/>
      <c r="C83" s="2280"/>
      <c r="D83" s="22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62" t="s">
        <v>2255</v>
      </c>
      <c r="C102" s="2263"/>
      <c r="D102" s="2263"/>
      <c r="E102" s="2263"/>
      <c r="F102" s="2263"/>
      <c r="G102" s="2263"/>
      <c r="H102" s="2263"/>
      <c r="I102" s="2264"/>
    </row>
    <row r="103" spans="1:9" s="181" customFormat="1" ht="11.25" customHeight="1" x14ac:dyDescent="0.2">
      <c r="A103" s="316"/>
      <c r="B103" s="2265"/>
      <c r="C103" s="2266"/>
      <c r="D103" s="2266"/>
      <c r="E103" s="2266"/>
      <c r="F103" s="2266"/>
      <c r="G103" s="2266"/>
      <c r="H103" s="2266"/>
      <c r="I103" s="2267"/>
    </row>
    <row r="104" spans="1:9" s="181" customFormat="1" ht="11.25" customHeight="1" x14ac:dyDescent="0.2">
      <c r="A104" s="316"/>
      <c r="B104" s="2265"/>
      <c r="C104" s="2266"/>
      <c r="D104" s="2266"/>
      <c r="E104" s="2266"/>
      <c r="F104" s="2266"/>
      <c r="G104" s="2266"/>
      <c r="H104" s="2266"/>
      <c r="I104" s="2267"/>
    </row>
    <row r="105" spans="1:9" s="181" customFormat="1" x14ac:dyDescent="0.2">
      <c r="A105" s="316"/>
      <c r="B105" s="2265"/>
      <c r="C105" s="2266"/>
      <c r="D105" s="2266"/>
      <c r="E105" s="2266"/>
      <c r="F105" s="2266"/>
      <c r="G105" s="2266"/>
      <c r="H105" s="2266"/>
      <c r="I105" s="2267"/>
    </row>
    <row r="106" spans="1:9" s="181" customFormat="1" ht="11.25" customHeight="1" x14ac:dyDescent="0.2">
      <c r="A106" s="316"/>
      <c r="B106" s="2265"/>
      <c r="C106" s="2266"/>
      <c r="D106" s="2266"/>
      <c r="E106" s="2266"/>
      <c r="F106" s="2266"/>
      <c r="G106" s="2266"/>
      <c r="H106" s="2266"/>
      <c r="I106" s="2267"/>
    </row>
    <row r="107" spans="1:9" s="181" customFormat="1" ht="11.25" customHeight="1" x14ac:dyDescent="0.2">
      <c r="A107" s="316"/>
      <c r="B107" s="2265"/>
      <c r="C107" s="2266"/>
      <c r="D107" s="2266"/>
      <c r="E107" s="2266"/>
      <c r="F107" s="2266"/>
      <c r="G107" s="2266"/>
      <c r="H107" s="2266"/>
      <c r="I107" s="2267"/>
    </row>
    <row r="108" spans="1:9" s="181" customFormat="1" ht="11.25" customHeight="1" x14ac:dyDescent="0.2">
      <c r="A108" s="316"/>
      <c r="B108" s="2265"/>
      <c r="C108" s="2266"/>
      <c r="D108" s="2266"/>
      <c r="E108" s="2266"/>
      <c r="F108" s="2266"/>
      <c r="G108" s="2266"/>
      <c r="H108" s="2266"/>
      <c r="I108" s="2267"/>
    </row>
    <row r="109" spans="1:9" s="181" customFormat="1" ht="11.25" customHeight="1" x14ac:dyDescent="0.2">
      <c r="A109" s="316"/>
      <c r="B109" s="2265"/>
      <c r="C109" s="2266"/>
      <c r="D109" s="2266"/>
      <c r="E109" s="2266"/>
      <c r="F109" s="2266"/>
      <c r="G109" s="2266"/>
      <c r="H109" s="2266"/>
      <c r="I109" s="2267"/>
    </row>
    <row r="110" spans="1:9" s="181" customFormat="1" ht="11.25" customHeight="1" x14ac:dyDescent="0.2">
      <c r="A110" s="316"/>
      <c r="B110" s="2265"/>
      <c r="C110" s="2266"/>
      <c r="D110" s="2266"/>
      <c r="E110" s="2266"/>
      <c r="F110" s="2266"/>
      <c r="G110" s="2266"/>
      <c r="H110" s="2266"/>
      <c r="I110" s="2267"/>
    </row>
    <row r="111" spans="1:9" s="181" customFormat="1" ht="11.25" customHeight="1" x14ac:dyDescent="0.2">
      <c r="A111" s="316"/>
      <c r="B111" s="2265"/>
      <c r="C111" s="2266"/>
      <c r="D111" s="2266"/>
      <c r="E111" s="2266"/>
      <c r="F111" s="2266"/>
      <c r="G111" s="2266"/>
      <c r="H111" s="2266"/>
      <c r="I111" s="2267"/>
    </row>
    <row r="112" spans="1:9" s="181" customFormat="1" ht="11.25" customHeight="1" x14ac:dyDescent="0.2">
      <c r="A112" s="316"/>
      <c r="B112" s="2268"/>
      <c r="C112" s="2269"/>
      <c r="D112" s="2269"/>
      <c r="E112" s="2269"/>
      <c r="F112" s="2269"/>
      <c r="G112" s="2269"/>
      <c r="H112" s="2269"/>
      <c r="I112" s="22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71" t="s">
        <v>2210</v>
      </c>
      <c r="D114" s="22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72" t="s">
        <v>1330</v>
      </c>
      <c r="D117" s="2273"/>
      <c r="E117" s="2274"/>
      <c r="F117" s="2274"/>
      <c r="G117" s="2274"/>
      <c r="H117" s="2274"/>
      <c r="I117" s="304"/>
    </row>
    <row r="118" spans="1:9" s="181" customFormat="1" ht="24" customHeight="1" x14ac:dyDescent="0.2">
      <c r="A118" s="316"/>
      <c r="B118" s="316"/>
      <c r="C118" s="316"/>
      <c r="D118" s="323" t="s">
        <v>2258</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61"/>
  <sheetViews>
    <sheetView showGridLines="0" zoomScale="140" zoomScaleNormal="14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659" t="s">
        <v>2072</v>
      </c>
      <c r="B1" s="2659"/>
      <c r="C1" s="2659"/>
      <c r="D1" s="2659"/>
      <c r="E1" s="2659"/>
      <c r="F1" s="2659"/>
    </row>
    <row r="2" spans="1:7" ht="13.5" customHeight="1" x14ac:dyDescent="0.2">
      <c r="A2" s="2641" t="s">
        <v>2070</v>
      </c>
      <c r="B2" s="2641"/>
      <c r="C2" s="2641"/>
      <c r="D2" s="2641"/>
      <c r="E2" s="2641"/>
      <c r="F2" s="2641"/>
      <c r="G2" s="1269"/>
    </row>
    <row r="3" spans="1:7" ht="15.95" customHeight="1" x14ac:dyDescent="0.2">
      <c r="A3" s="2660" t="s">
        <v>1271</v>
      </c>
      <c r="B3" s="2660"/>
      <c r="C3" s="2660"/>
      <c r="D3" s="2660"/>
      <c r="E3" s="2660"/>
      <c r="F3" s="2660"/>
    </row>
    <row r="4" spans="1:7" ht="13.5" customHeight="1" x14ac:dyDescent="0.2">
      <c r="A4" s="2661" t="s">
        <v>1986</v>
      </c>
      <c r="B4" s="2661"/>
      <c r="C4" s="2661"/>
      <c r="D4" s="2661"/>
      <c r="E4" s="2661"/>
      <c r="F4" s="2661"/>
    </row>
    <row r="5" spans="1:7" ht="8.25" customHeight="1" x14ac:dyDescent="0.2">
      <c r="C5" s="317"/>
      <c r="D5" s="317"/>
    </row>
    <row r="6" spans="1:7" ht="13.5" customHeight="1" x14ac:dyDescent="0.2">
      <c r="A6" s="1270" t="s">
        <v>1728</v>
      </c>
      <c r="C6" s="317"/>
      <c r="D6" s="317"/>
    </row>
    <row r="7" spans="1:7" ht="61.15" customHeight="1" x14ac:dyDescent="0.2">
      <c r="A7" s="2658" t="s">
        <v>2080</v>
      </c>
      <c r="B7" s="2658"/>
      <c r="C7" s="2658"/>
      <c r="D7" s="2658"/>
      <c r="E7" s="2658"/>
      <c r="F7" s="2658"/>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2079</v>
      </c>
      <c r="F10" s="1274" t="s">
        <v>99</v>
      </c>
      <c r="G10" s="1272"/>
    </row>
    <row r="11" spans="1:7" ht="12" customHeight="1" x14ac:dyDescent="0.2">
      <c r="A11" s="1273"/>
      <c r="B11" s="1274"/>
      <c r="C11" s="1897"/>
      <c r="D11" s="1274"/>
      <c r="E11" s="1897"/>
      <c r="F11" s="1274"/>
      <c r="G11" s="1272"/>
    </row>
    <row r="12" spans="1:7" x14ac:dyDescent="0.2">
      <c r="A12" s="1270" t="s">
        <v>1587</v>
      </c>
      <c r="C12" s="1254"/>
      <c r="D12" s="1254"/>
    </row>
    <row r="13" spans="1:7" ht="26.25" customHeight="1" x14ac:dyDescent="0.2">
      <c r="A13" s="2658" t="s">
        <v>2202</v>
      </c>
      <c r="B13" s="2658"/>
      <c r="C13" s="2658"/>
      <c r="D13" s="2658"/>
      <c r="E13" s="2658"/>
      <c r="F13" s="2658"/>
    </row>
    <row r="14" spans="1:7" ht="9.75" customHeight="1" x14ac:dyDescent="0.2">
      <c r="C14" s="1254"/>
      <c r="D14" s="1254"/>
    </row>
    <row r="15" spans="1:7" ht="13.5" customHeight="1" x14ac:dyDescent="0.2">
      <c r="C15" s="1956" t="s">
        <v>1270</v>
      </c>
      <c r="D15" s="2656" t="s">
        <v>1269</v>
      </c>
      <c r="E15" s="2656"/>
      <c r="F15" s="2656"/>
    </row>
    <row r="16" spans="1:7" ht="13.5" customHeight="1" x14ac:dyDescent="0.2">
      <c r="A16" s="1276"/>
      <c r="B16" s="1270" t="s">
        <v>1268</v>
      </c>
      <c r="C16" s="1956" t="s">
        <v>1267</v>
      </c>
      <c r="D16" s="2657" t="s">
        <v>1588</v>
      </c>
      <c r="E16" s="2657"/>
      <c r="F16" s="2657"/>
    </row>
    <row r="17" spans="1:6" ht="20.45" customHeight="1" x14ac:dyDescent="0.2">
      <c r="A17" s="1277"/>
      <c r="B17" s="1278" t="s">
        <v>2081</v>
      </c>
      <c r="C17" s="1279">
        <v>84.027000000000001</v>
      </c>
      <c r="D17" s="2651">
        <v>110209</v>
      </c>
      <c r="E17" s="2651"/>
      <c r="F17" s="2651"/>
    </row>
    <row r="18" spans="1:6" ht="20.65" hidden="1" customHeight="1" x14ac:dyDescent="0.2">
      <c r="A18" s="1277"/>
      <c r="B18" s="1278"/>
      <c r="C18" s="1279"/>
      <c r="D18" s="2651"/>
      <c r="E18" s="2651"/>
      <c r="F18" s="2651"/>
    </row>
    <row r="19" spans="1:6" ht="20.65" hidden="1" customHeight="1" x14ac:dyDescent="0.2">
      <c r="A19" s="1277"/>
      <c r="B19" s="1278"/>
      <c r="C19" s="1279"/>
      <c r="D19" s="2651"/>
      <c r="E19" s="2651"/>
      <c r="F19" s="2651"/>
    </row>
    <row r="20" spans="1:6" ht="20.65" hidden="1" customHeight="1" x14ac:dyDescent="0.2">
      <c r="A20" s="1277"/>
      <c r="B20" s="1278"/>
      <c r="C20" s="1279"/>
      <c r="D20" s="2651"/>
      <c r="E20" s="2651"/>
      <c r="F20" s="2651"/>
    </row>
    <row r="21" spans="1:6" ht="20.65" hidden="1" customHeight="1" x14ac:dyDescent="0.2">
      <c r="A21" s="1277"/>
      <c r="B21" s="1278"/>
      <c r="C21" s="1279"/>
      <c r="D21" s="2651"/>
      <c r="E21" s="2651"/>
      <c r="F21" s="2651"/>
    </row>
    <row r="22" spans="1:6" ht="20.65" hidden="1" customHeight="1" x14ac:dyDescent="0.2">
      <c r="A22" s="1277"/>
      <c r="B22" s="1278"/>
      <c r="C22" s="1279"/>
      <c r="D22" s="2651"/>
      <c r="E22" s="2651"/>
      <c r="F22" s="2651"/>
    </row>
    <row r="23" spans="1:6" ht="20.65" hidden="1" customHeight="1" x14ac:dyDescent="0.2">
      <c r="A23" s="1277"/>
      <c r="B23" s="1278"/>
      <c r="C23" s="1279"/>
      <c r="D23" s="2651"/>
      <c r="E23" s="2651"/>
      <c r="F23" s="2651"/>
    </row>
    <row r="24" spans="1:6" ht="20.65" hidden="1" customHeight="1" x14ac:dyDescent="0.2">
      <c r="A24" s="1277"/>
      <c r="B24" s="1278"/>
      <c r="C24" s="1279"/>
      <c r="D24" s="2651"/>
      <c r="E24" s="2651"/>
      <c r="F24" s="2651"/>
    </row>
    <row r="25" spans="1:6" ht="20.65" hidden="1" customHeight="1" x14ac:dyDescent="0.2">
      <c r="A25" s="1277"/>
      <c r="B25" s="1278"/>
      <c r="C25" s="1279"/>
      <c r="D25" s="2651"/>
      <c r="E25" s="2651"/>
      <c r="F25" s="2651"/>
    </row>
    <row r="26" spans="1:6" ht="20.65" hidden="1" customHeight="1" x14ac:dyDescent="0.2">
      <c r="A26" s="1277"/>
      <c r="B26" s="1278"/>
      <c r="C26" s="1279"/>
      <c r="D26" s="2651"/>
      <c r="E26" s="2651"/>
      <c r="F26" s="2651"/>
    </row>
    <row r="27" spans="1:6" ht="20.65" hidden="1" customHeight="1" x14ac:dyDescent="0.2">
      <c r="A27" s="1277"/>
      <c r="B27" s="1278"/>
      <c r="C27" s="1279"/>
      <c r="D27" s="2651"/>
      <c r="E27" s="2651"/>
      <c r="F27" s="2651"/>
    </row>
    <row r="28" spans="1:6" ht="20.65" hidden="1" customHeight="1" x14ac:dyDescent="0.2">
      <c r="A28" s="1277"/>
      <c r="B28" s="1278"/>
      <c r="C28" s="1279"/>
      <c r="D28" s="2651"/>
      <c r="E28" s="2651"/>
      <c r="F28" s="2651"/>
    </row>
    <row r="29" spans="1:6" ht="20.65" hidden="1" customHeight="1" x14ac:dyDescent="0.2">
      <c r="A29" s="1277"/>
      <c r="B29" s="1278"/>
      <c r="C29" s="1279"/>
      <c r="D29" s="2651"/>
      <c r="E29" s="2651"/>
      <c r="F29" s="2651"/>
    </row>
    <row r="30" spans="1:6" ht="12" customHeight="1" x14ac:dyDescent="0.2">
      <c r="A30" s="328"/>
      <c r="B30" s="328"/>
      <c r="C30" s="1459"/>
      <c r="D30" s="1898"/>
      <c r="E30" s="1280"/>
    </row>
    <row r="31" spans="1:6" ht="12" customHeight="1" x14ac:dyDescent="0.2">
      <c r="A31" s="1281" t="s">
        <v>1549</v>
      </c>
      <c r="B31" s="328"/>
      <c r="C31" s="1459"/>
      <c r="D31" s="1898"/>
      <c r="E31" s="1280"/>
    </row>
    <row r="32" spans="1:6" ht="30" customHeight="1" x14ac:dyDescent="0.2">
      <c r="A32" s="2652" t="s">
        <v>2082</v>
      </c>
      <c r="B32" s="2652"/>
      <c r="C32" s="2652"/>
      <c r="D32" s="2652"/>
      <c r="E32" s="2652"/>
      <c r="F32" s="2652"/>
    </row>
    <row r="33" spans="1:6" ht="13.5" customHeight="1" x14ac:dyDescent="0.2">
      <c r="A33" s="328" t="s">
        <v>1434</v>
      </c>
      <c r="B33" s="328"/>
      <c r="C33" s="1282">
        <v>0</v>
      </c>
      <c r="D33" s="1898"/>
      <c r="E33" s="1280"/>
    </row>
    <row r="34" spans="1:6" ht="13.5" customHeight="1" x14ac:dyDescent="0.2">
      <c r="A34" s="328" t="s">
        <v>1835</v>
      </c>
      <c r="B34" s="328"/>
      <c r="C34" s="1283">
        <v>0</v>
      </c>
      <c r="D34" s="1898" t="s">
        <v>1589</v>
      </c>
      <c r="E34" s="2653">
        <f>+C33+C34</f>
        <v>0</v>
      </c>
      <c r="F34" s="2654"/>
    </row>
    <row r="35" spans="1:6" ht="12" customHeight="1" x14ac:dyDescent="0.2">
      <c r="A35" s="328"/>
      <c r="B35" s="328"/>
      <c r="C35" s="1899"/>
      <c r="D35" s="1898"/>
      <c r="E35" s="1284"/>
      <c r="F35" s="1285"/>
    </row>
    <row r="36" spans="1:6" ht="13.5" customHeight="1" x14ac:dyDescent="0.2">
      <c r="A36" s="1281" t="s">
        <v>1550</v>
      </c>
      <c r="B36" s="328"/>
      <c r="C36" s="1459"/>
      <c r="D36" s="1898"/>
      <c r="E36" s="1280"/>
    </row>
    <row r="37" spans="1:6" ht="14.25" customHeight="1" x14ac:dyDescent="0.2">
      <c r="A37" s="328" t="s">
        <v>1484</v>
      </c>
      <c r="B37" s="328"/>
      <c r="C37" s="1900"/>
      <c r="D37" s="1898"/>
      <c r="E37" s="1280"/>
    </row>
    <row r="38" spans="1:6" ht="14.25" customHeight="1" x14ac:dyDescent="0.2">
      <c r="A38" s="328"/>
      <c r="B38" s="328" t="s">
        <v>1435</v>
      </c>
      <c r="C38" s="1286" t="s">
        <v>383</v>
      </c>
      <c r="D38" s="1898"/>
      <c r="E38" s="1280"/>
    </row>
    <row r="39" spans="1:6" ht="14.25" customHeight="1" x14ac:dyDescent="0.2">
      <c r="A39" s="328"/>
      <c r="B39" s="328" t="s">
        <v>1436</v>
      </c>
      <c r="C39" s="1286" t="s">
        <v>383</v>
      </c>
      <c r="D39" s="1898"/>
      <c r="E39" s="1280"/>
    </row>
    <row r="40" spans="1:6" ht="14.25" customHeight="1" x14ac:dyDescent="0.2">
      <c r="A40" s="328"/>
      <c r="B40" s="328" t="s">
        <v>1437</v>
      </c>
      <c r="C40" s="1286" t="s">
        <v>383</v>
      </c>
      <c r="D40" s="1898"/>
      <c r="E40" s="1280"/>
    </row>
    <row r="41" spans="1:6" ht="14.25" customHeight="1" x14ac:dyDescent="0.2">
      <c r="A41" s="328"/>
      <c r="B41" s="328" t="s">
        <v>1438</v>
      </c>
      <c r="C41" s="1286" t="s">
        <v>383</v>
      </c>
      <c r="D41" s="1898"/>
      <c r="E41" s="1280"/>
    </row>
    <row r="42" spans="1:6" ht="14.25" customHeight="1" x14ac:dyDescent="0.2">
      <c r="A42" s="328" t="s">
        <v>1439</v>
      </c>
      <c r="B42" s="328"/>
      <c r="C42" s="1896" t="s">
        <v>383</v>
      </c>
      <c r="D42" s="1898"/>
      <c r="E42" s="1280"/>
    </row>
    <row r="43" spans="1:6" ht="14.25" customHeight="1" x14ac:dyDescent="0.2">
      <c r="A43" s="328" t="s">
        <v>1440</v>
      </c>
      <c r="B43" s="328"/>
      <c r="C43" s="1287" t="s">
        <v>383</v>
      </c>
      <c r="D43" s="1898"/>
      <c r="E43" s="1280"/>
    </row>
    <row r="44" spans="1:6" ht="14.25" customHeight="1" x14ac:dyDescent="0.2">
      <c r="A44" s="328"/>
      <c r="B44" s="328"/>
      <c r="C44" s="1900" t="s">
        <v>1441</v>
      </c>
      <c r="D44" s="1898"/>
      <c r="E44" s="1280"/>
    </row>
    <row r="45" spans="1:6" ht="13.5" customHeight="1" x14ac:dyDescent="0.2">
      <c r="B45" s="322"/>
      <c r="C45" s="1288"/>
      <c r="D45" s="1288"/>
    </row>
    <row r="46" spans="1:6" ht="13.5" hidden="1" customHeight="1" x14ac:dyDescent="0.2">
      <c r="A46" s="1270" t="s">
        <v>2203</v>
      </c>
      <c r="B46" s="322"/>
      <c r="C46" s="1288"/>
      <c r="D46" s="1288"/>
    </row>
    <row r="47" spans="1:6" s="1276" customFormat="1" ht="13.5" hidden="1" customHeight="1" x14ac:dyDescent="0.2">
      <c r="A47" s="1276" t="s">
        <v>2207</v>
      </c>
      <c r="B47" s="328"/>
      <c r="C47" s="1281"/>
      <c r="D47" s="1281"/>
    </row>
    <row r="48" spans="1:6" s="1276" customFormat="1" ht="13.5" customHeight="1" x14ac:dyDescent="0.2">
      <c r="B48" s="328"/>
      <c r="C48" s="1281"/>
      <c r="D48" s="1281"/>
    </row>
    <row r="49" spans="1:6" s="1276" customFormat="1" ht="13.5" customHeight="1" x14ac:dyDescent="0.2">
      <c r="A49" s="1270" t="s">
        <v>2235</v>
      </c>
      <c r="B49" s="328"/>
      <c r="C49" s="1281"/>
      <c r="D49" s="1281"/>
    </row>
    <row r="50" spans="1:6" s="1276" customFormat="1" ht="13.5" customHeight="1" x14ac:dyDescent="0.2">
      <c r="A50" s="1276" t="s">
        <v>2204</v>
      </c>
      <c r="B50" s="328"/>
      <c r="C50" s="1281"/>
      <c r="D50" s="1281"/>
    </row>
    <row r="51" spans="1:6" s="1276" customFormat="1" ht="13.5" customHeight="1" x14ac:dyDescent="0.2">
      <c r="A51" s="1276" t="s">
        <v>2205</v>
      </c>
      <c r="B51" s="328"/>
      <c r="C51" s="1281"/>
      <c r="D51" s="1281"/>
    </row>
    <row r="52" spans="1:6" s="1276" customFormat="1" ht="13.5" customHeight="1" x14ac:dyDescent="0.2">
      <c r="A52" s="1276" t="s">
        <v>2208</v>
      </c>
      <c r="B52" s="328"/>
      <c r="C52" s="1281"/>
      <c r="D52" s="1281"/>
    </row>
    <row r="53" spans="1:6" s="1276" customFormat="1" ht="13.5" customHeight="1" x14ac:dyDescent="0.2">
      <c r="A53" s="1276" t="s">
        <v>2206</v>
      </c>
      <c r="B53" s="328"/>
      <c r="C53" s="1281"/>
      <c r="D53" s="1281"/>
    </row>
    <row r="54" spans="1:6" s="1276" customFormat="1" ht="13.5" customHeight="1" x14ac:dyDescent="0.2">
      <c r="B54" s="328"/>
      <c r="C54" s="1281"/>
      <c r="D54" s="1281"/>
    </row>
    <row r="55" spans="1:6" x14ac:dyDescent="0.2">
      <c r="A55" s="1289" t="s">
        <v>1730</v>
      </c>
      <c r="C55" s="317"/>
      <c r="D55" s="317"/>
    </row>
    <row r="56" spans="1:6" s="322" customFormat="1" ht="11.25" customHeight="1" x14ac:dyDescent="0.2">
      <c r="A56" s="1290"/>
      <c r="B56" s="1291"/>
      <c r="C56" s="1291"/>
      <c r="D56" s="1291"/>
      <c r="E56" s="1291"/>
      <c r="F56" s="1291"/>
    </row>
    <row r="57" spans="1:6" s="322" customFormat="1" ht="6" customHeight="1" x14ac:dyDescent="0.2">
      <c r="A57" s="1292"/>
    </row>
    <row r="58" spans="1:6" s="1294" customFormat="1" ht="23.45" customHeight="1" x14ac:dyDescent="0.2">
      <c r="A58" s="1293">
        <v>5</v>
      </c>
      <c r="B58" s="2655" t="s">
        <v>1590</v>
      </c>
      <c r="C58" s="2655"/>
      <c r="D58" s="2655"/>
      <c r="E58" s="1393"/>
    </row>
    <row r="59" spans="1:6" s="1294" customFormat="1" ht="3.75" customHeight="1" x14ac:dyDescent="0.2">
      <c r="A59" s="1293"/>
      <c r="B59" s="1957"/>
      <c r="C59" s="1957"/>
      <c r="D59" s="1957"/>
      <c r="E59" s="1393"/>
    </row>
    <row r="60" spans="1:6" s="1294" customFormat="1" ht="20.25" customHeight="1" x14ac:dyDescent="0.2">
      <c r="A60" s="1295">
        <v>6</v>
      </c>
      <c r="B60" s="2650" t="s">
        <v>1551</v>
      </c>
      <c r="C60" s="2650"/>
      <c r="D60" s="2650"/>
    </row>
    <row r="61" spans="1:6" ht="14.25" customHeight="1" x14ac:dyDescent="0.2">
      <c r="A61" s="1295"/>
      <c r="B61" s="2650"/>
      <c r="C61" s="2650"/>
      <c r="D61" s="2650"/>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60:D60"/>
    <mergeCell ref="B61:D61"/>
    <mergeCell ref="D27:F27"/>
    <mergeCell ref="D28:F28"/>
    <mergeCell ref="D29:F29"/>
    <mergeCell ref="A32:F32"/>
    <mergeCell ref="E34:F34"/>
    <mergeCell ref="B58:D58"/>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66" t="str">
        <f>'Single Audit Cover'!A7</f>
        <v>West Central IL Spec Educ Coop</v>
      </c>
      <c r="C1" s="2667"/>
      <c r="D1" s="2667"/>
      <c r="E1" s="2667"/>
      <c r="F1" s="2667"/>
      <c r="G1" s="2667"/>
      <c r="H1" s="2667"/>
      <c r="I1" s="2667"/>
      <c r="J1" s="1403"/>
    </row>
    <row r="2" spans="2:10" s="317" customFormat="1" ht="12.75" customHeight="1" x14ac:dyDescent="0.2">
      <c r="B2" s="2668">
        <f>'Single Audit Cover'!E7</f>
        <v>26062000061</v>
      </c>
      <c r="C2" s="2669"/>
      <c r="D2" s="2669"/>
      <c r="E2" s="2669"/>
      <c r="F2" s="2669"/>
      <c r="G2" s="2669"/>
      <c r="H2" s="2669"/>
      <c r="I2" s="2669"/>
      <c r="J2" s="1403"/>
    </row>
    <row r="3" spans="2:10" s="317" customFormat="1" ht="12.75" customHeight="1" x14ac:dyDescent="0.2">
      <c r="B3" s="2670" t="s">
        <v>1285</v>
      </c>
      <c r="C3" s="2671"/>
      <c r="D3" s="2671"/>
      <c r="E3" s="2671"/>
      <c r="F3" s="2671"/>
      <c r="G3" s="2671"/>
      <c r="H3" s="2671"/>
      <c r="I3" s="2671"/>
      <c r="J3" s="1404"/>
    </row>
    <row r="4" spans="2:10" s="317" customFormat="1" ht="12.75" customHeight="1" x14ac:dyDescent="0.2">
      <c r="B4" s="2670" t="str">
        <f>'Single Audit Cover'!A4</f>
        <v>Year Ending June 30, 2019</v>
      </c>
      <c r="C4" s="2671"/>
      <c r="D4" s="2671"/>
      <c r="E4" s="2671"/>
      <c r="F4" s="2671"/>
      <c r="G4" s="2671"/>
      <c r="H4" s="2671"/>
      <c r="I4" s="2671"/>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70" t="s">
        <v>1284</v>
      </c>
      <c r="C7" s="2671"/>
      <c r="D7" s="2671"/>
      <c r="E7" s="2671"/>
      <c r="F7" s="2671"/>
      <c r="G7" s="2671"/>
      <c r="H7" s="2671"/>
      <c r="I7" s="2671"/>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672" t="s">
        <v>1164</v>
      </c>
      <c r="D11" s="2672"/>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2079</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t="s">
        <v>2079</v>
      </c>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2079</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t="s">
        <v>2079</v>
      </c>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2079</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673" t="s">
        <v>2209</v>
      </c>
      <c r="E29" s="2673"/>
      <c r="F29" s="2673"/>
      <c r="G29" s="2673"/>
      <c r="H29" s="2673"/>
      <c r="I29" s="2673"/>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t="s">
        <v>2079</v>
      </c>
      <c r="F33" s="1294" t="s">
        <v>885</v>
      </c>
      <c r="G33" s="1419"/>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674" t="s">
        <v>1748</v>
      </c>
      <c r="D37" s="2675"/>
      <c r="E37" s="2675"/>
      <c r="F37" s="2676"/>
      <c r="G37" s="2674" t="s">
        <v>1592</v>
      </c>
      <c r="H37" s="2675"/>
      <c r="I37" s="2676"/>
    </row>
    <row r="38" spans="2:9" ht="16.5" customHeight="1" x14ac:dyDescent="0.2">
      <c r="B38" s="1425" t="s">
        <v>2083</v>
      </c>
      <c r="C38" s="2662" t="s">
        <v>2084</v>
      </c>
      <c r="D38" s="2663"/>
      <c r="E38" s="2663"/>
      <c r="F38" s="2664"/>
      <c r="G38" s="2677">
        <v>3653498</v>
      </c>
      <c r="H38" s="2678"/>
      <c r="I38" s="2679"/>
    </row>
    <row r="39" spans="2:9" ht="16.5" customHeight="1" x14ac:dyDescent="0.2">
      <c r="B39" s="1425"/>
      <c r="C39" s="2662"/>
      <c r="D39" s="2663"/>
      <c r="E39" s="2663"/>
      <c r="F39" s="2664"/>
      <c r="G39" s="2665"/>
      <c r="H39" s="2665"/>
      <c r="I39" s="2665"/>
    </row>
    <row r="40" spans="2:9" ht="16.5" customHeight="1" x14ac:dyDescent="0.2">
      <c r="B40" s="1425"/>
      <c r="C40" s="2662"/>
      <c r="D40" s="2663"/>
      <c r="E40" s="2663"/>
      <c r="F40" s="2664"/>
      <c r="G40" s="2665"/>
      <c r="H40" s="2665"/>
      <c r="I40" s="2665"/>
    </row>
    <row r="41" spans="2:9" ht="16.5" customHeight="1" x14ac:dyDescent="0.2">
      <c r="B41" s="1425"/>
      <c r="C41" s="2662"/>
      <c r="D41" s="2663"/>
      <c r="E41" s="2663"/>
      <c r="F41" s="2664"/>
      <c r="G41" s="2665"/>
      <c r="H41" s="2665"/>
      <c r="I41" s="2665"/>
    </row>
    <row r="42" spans="2:9" ht="16.5" customHeight="1" x14ac:dyDescent="0.2">
      <c r="B42" s="1425"/>
      <c r="C42" s="2662"/>
      <c r="D42" s="2663"/>
      <c r="E42" s="2663"/>
      <c r="F42" s="2664"/>
      <c r="G42" s="2665"/>
      <c r="H42" s="2665"/>
      <c r="I42" s="2665"/>
    </row>
    <row r="43" spans="2:9" ht="16.5" customHeight="1" x14ac:dyDescent="0.2">
      <c r="B43" s="1425"/>
      <c r="C43" s="2680" t="s">
        <v>1593</v>
      </c>
      <c r="D43" s="2681"/>
      <c r="E43" s="2681"/>
      <c r="F43" s="2682"/>
      <c r="G43" s="2683">
        <f>SUM(G38:I42)</f>
        <v>3653498</v>
      </c>
      <c r="H43" s="2683"/>
      <c r="I43" s="2683"/>
    </row>
    <row r="44" spans="2:9" ht="12.75" customHeight="1" x14ac:dyDescent="0.2"/>
    <row r="45" spans="2:9" ht="12.75" customHeight="1" x14ac:dyDescent="0.2">
      <c r="B45" s="1416" t="s">
        <v>1838</v>
      </c>
      <c r="D45" s="2684">
        <v>3795341</v>
      </c>
      <c r="E45" s="2685"/>
    </row>
    <row r="46" spans="2:9" ht="5.25" customHeight="1" x14ac:dyDescent="0.2">
      <c r="B46" s="1426"/>
      <c r="D46" s="1427"/>
      <c r="E46" s="1428"/>
    </row>
    <row r="47" spans="2:9" ht="12.75" customHeight="1" x14ac:dyDescent="0.2">
      <c r="B47" s="1294" t="s">
        <v>1594</v>
      </c>
      <c r="C47" s="1294"/>
      <c r="D47" s="1429">
        <f>+G43/D45</f>
        <v>0.96262707356203303</v>
      </c>
      <c r="E47" s="1430"/>
      <c r="F47" s="1431"/>
      <c r="I47" s="1432"/>
    </row>
    <row r="48" spans="2:9" ht="9.9499999999999993" customHeight="1" x14ac:dyDescent="0.2"/>
    <row r="49" spans="1:9" x14ac:dyDescent="0.2">
      <c r="B49" s="1362" t="s">
        <v>1273</v>
      </c>
      <c r="C49" s="1276"/>
      <c r="D49" s="1276"/>
      <c r="E49" s="2686">
        <v>750000</v>
      </c>
      <c r="F49" s="2686"/>
      <c r="G49" s="2686"/>
      <c r="H49" s="322"/>
    </row>
    <row r="51" spans="1:9" ht="13.5" customHeight="1" x14ac:dyDescent="0.2">
      <c r="B51" s="1362" t="s">
        <v>1272</v>
      </c>
      <c r="C51" s="1276"/>
      <c r="E51" s="1419"/>
      <c r="F51" s="1294" t="s">
        <v>885</v>
      </c>
      <c r="G51" s="1419" t="s">
        <v>2079</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6" t="str">
        <f>'Single Audit Cover'!A7</f>
        <v>West Central IL Spec Educ Coop</v>
      </c>
      <c r="C1" s="2666"/>
      <c r="D1" s="2666"/>
      <c r="E1" s="2666"/>
      <c r="F1" s="2666"/>
      <c r="G1" s="2666"/>
      <c r="H1" s="2666"/>
      <c r="I1" s="2666"/>
      <c r="J1" s="2666"/>
      <c r="K1" s="2666"/>
      <c r="L1" s="1368"/>
      <c r="M1" s="1368"/>
    </row>
    <row r="2" spans="1:13" ht="12" customHeight="1" x14ac:dyDescent="0.2">
      <c r="B2" s="2668">
        <f>'Single Audit Cover'!E7</f>
        <v>26062000061</v>
      </c>
      <c r="C2" s="2668"/>
      <c r="D2" s="2668"/>
      <c r="E2" s="2668"/>
      <c r="F2" s="2668"/>
      <c r="G2" s="2668"/>
      <c r="H2" s="2668"/>
      <c r="I2" s="2668"/>
      <c r="J2" s="2668"/>
      <c r="K2" s="2668"/>
      <c r="L2" s="1369"/>
      <c r="M2" s="1370"/>
    </row>
    <row r="3" spans="1:13" ht="10.35" customHeight="1" x14ac:dyDescent="0.2">
      <c r="B3" s="2689" t="s">
        <v>1285</v>
      </c>
      <c r="C3" s="2689"/>
      <c r="D3" s="2689"/>
      <c r="E3" s="2689"/>
      <c r="F3" s="2689"/>
      <c r="G3" s="2689"/>
      <c r="H3" s="2689"/>
      <c r="I3" s="2689"/>
      <c r="J3" s="2689"/>
      <c r="K3" s="2689"/>
      <c r="L3" s="1932"/>
      <c r="M3" s="1932"/>
    </row>
    <row r="4" spans="1:13" ht="14.25" customHeight="1" x14ac:dyDescent="0.2">
      <c r="B4" s="2690" t="str">
        <f>'Single Audit Cover'!A4</f>
        <v>Year Ending June 30, 2019</v>
      </c>
      <c r="C4" s="2690"/>
      <c r="D4" s="2690"/>
      <c r="E4" s="2690"/>
      <c r="F4" s="2690"/>
      <c r="G4" s="2690"/>
      <c r="H4" s="2690"/>
      <c r="I4" s="2690"/>
      <c r="J4" s="2690"/>
      <c r="K4" s="269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90" t="s">
        <v>1296</v>
      </c>
      <c r="C7" s="2690"/>
      <c r="D7" s="2691"/>
      <c r="E7" s="2691"/>
      <c r="F7" s="2691"/>
      <c r="G7" s="2691"/>
      <c r="H7" s="2691"/>
      <c r="I7" s="2691"/>
      <c r="J7" s="2691"/>
      <c r="K7" s="269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v>1</v>
      </c>
      <c r="E10" s="322"/>
      <c r="F10" s="1381" t="s">
        <v>1295</v>
      </c>
      <c r="G10" s="1382"/>
      <c r="H10" s="1383" t="s">
        <v>1294</v>
      </c>
      <c r="I10" s="1382" t="s">
        <v>2079</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88" t="s">
        <v>2085</v>
      </c>
      <c r="C14" s="2688"/>
      <c r="D14" s="2688"/>
      <c r="E14" s="2688"/>
      <c r="F14" s="2688"/>
      <c r="G14" s="2688"/>
      <c r="H14" s="2688"/>
      <c r="I14" s="2688"/>
      <c r="J14" s="2688"/>
      <c r="K14" s="268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88" t="s">
        <v>2086</v>
      </c>
      <c r="C17" s="2688"/>
      <c r="D17" s="2688"/>
      <c r="E17" s="2688"/>
      <c r="F17" s="2688"/>
      <c r="G17" s="2688"/>
      <c r="H17" s="2688"/>
      <c r="I17" s="2688"/>
      <c r="J17" s="2688"/>
      <c r="K17" s="2688"/>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92" t="s">
        <v>2257</v>
      </c>
      <c r="C20" s="2692"/>
      <c r="D20" s="2688"/>
      <c r="E20" s="2688"/>
      <c r="F20" s="2688"/>
      <c r="G20" s="2688"/>
      <c r="H20" s="2688"/>
      <c r="I20" s="2688"/>
      <c r="J20" s="2688"/>
      <c r="K20" s="268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88" t="s">
        <v>2224</v>
      </c>
      <c r="C23" s="2688"/>
      <c r="D23" s="2688"/>
      <c r="E23" s="2688"/>
      <c r="F23" s="2688"/>
      <c r="G23" s="2688"/>
      <c r="H23" s="2688"/>
      <c r="I23" s="2688"/>
      <c r="J23" s="2688"/>
      <c r="K23" s="268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88" t="s">
        <v>2087</v>
      </c>
      <c r="C26" s="2688"/>
      <c r="D26" s="2688"/>
      <c r="E26" s="2688"/>
      <c r="F26" s="2688"/>
      <c r="G26" s="2688"/>
      <c r="H26" s="2688"/>
      <c r="I26" s="2688"/>
      <c r="J26" s="2688"/>
      <c r="K26" s="268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87" t="s">
        <v>2088</v>
      </c>
      <c r="C29" s="2687"/>
      <c r="D29" s="2688"/>
      <c r="E29" s="2688"/>
      <c r="F29" s="2688"/>
      <c r="G29" s="2688"/>
      <c r="H29" s="2688"/>
      <c r="I29" s="2688"/>
      <c r="J29" s="2688"/>
      <c r="K29" s="268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87" t="s">
        <v>2089</v>
      </c>
      <c r="C32" s="2687"/>
      <c r="D32" s="2688"/>
      <c r="E32" s="2688"/>
      <c r="F32" s="2688"/>
      <c r="G32" s="2688"/>
      <c r="H32" s="2688"/>
      <c r="I32" s="2688"/>
      <c r="J32" s="2688"/>
      <c r="K32" s="268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6" t="str">
        <f>'Single Audit Cover'!A7</f>
        <v>West Central IL Spec Educ Coop</v>
      </c>
      <c r="C1" s="2666"/>
      <c r="D1" s="2666"/>
      <c r="E1" s="2666"/>
      <c r="F1" s="2666"/>
      <c r="G1" s="2666"/>
      <c r="H1" s="2666"/>
      <c r="I1" s="2666"/>
      <c r="J1" s="2666"/>
      <c r="K1" s="2666"/>
      <c r="L1" s="1368"/>
      <c r="M1" s="1368"/>
    </row>
    <row r="2" spans="1:13" ht="12" customHeight="1" x14ac:dyDescent="0.2">
      <c r="B2" s="2668">
        <f>'Single Audit Cover'!E7</f>
        <v>26062000061</v>
      </c>
      <c r="C2" s="2668"/>
      <c r="D2" s="2668"/>
      <c r="E2" s="2668"/>
      <c r="F2" s="2668"/>
      <c r="G2" s="2668"/>
      <c r="H2" s="2668"/>
      <c r="I2" s="2668"/>
      <c r="J2" s="2668"/>
      <c r="K2" s="2668"/>
      <c r="L2" s="1369"/>
      <c r="M2" s="1370"/>
    </row>
    <row r="3" spans="1:13" ht="10.35" customHeight="1" x14ac:dyDescent="0.2">
      <c r="B3" s="2689" t="s">
        <v>1285</v>
      </c>
      <c r="C3" s="2689"/>
      <c r="D3" s="2689"/>
      <c r="E3" s="2689"/>
      <c r="F3" s="2689"/>
      <c r="G3" s="2689"/>
      <c r="H3" s="2689"/>
      <c r="I3" s="2689"/>
      <c r="J3" s="2689"/>
      <c r="K3" s="2689"/>
      <c r="L3" s="2142"/>
      <c r="M3" s="2142"/>
    </row>
    <row r="4" spans="1:13" ht="14.25" customHeight="1" x14ac:dyDescent="0.2">
      <c r="B4" s="2690" t="str">
        <f>'Single Audit Cover'!A4</f>
        <v>Year Ending June 30, 2019</v>
      </c>
      <c r="C4" s="2690"/>
      <c r="D4" s="2690"/>
      <c r="E4" s="2690"/>
      <c r="F4" s="2690"/>
      <c r="G4" s="2690"/>
      <c r="H4" s="2690"/>
      <c r="I4" s="2690"/>
      <c r="J4" s="2690"/>
      <c r="K4" s="269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90" t="s">
        <v>1296</v>
      </c>
      <c r="C7" s="2690"/>
      <c r="D7" s="2691"/>
      <c r="E7" s="2691"/>
      <c r="F7" s="2691"/>
      <c r="G7" s="2691"/>
      <c r="H7" s="2691"/>
      <c r="I7" s="2691"/>
      <c r="J7" s="2691"/>
      <c r="K7" s="269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v>2</v>
      </c>
      <c r="E10" s="322"/>
      <c r="F10" s="1381" t="s">
        <v>1295</v>
      </c>
      <c r="G10" s="1382" t="s">
        <v>2079</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88" t="s">
        <v>2238</v>
      </c>
      <c r="C14" s="2688"/>
      <c r="D14" s="2688"/>
      <c r="E14" s="2688"/>
      <c r="F14" s="2688"/>
      <c r="G14" s="2688"/>
      <c r="H14" s="2688"/>
      <c r="I14" s="2688"/>
      <c r="J14" s="2688"/>
      <c r="K14" s="268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88" t="s">
        <v>2240</v>
      </c>
      <c r="C17" s="2688"/>
      <c r="D17" s="2688"/>
      <c r="E17" s="2688"/>
      <c r="F17" s="2688"/>
      <c r="G17" s="2688"/>
      <c r="H17" s="2688"/>
      <c r="I17" s="2688"/>
      <c r="J17" s="2688"/>
      <c r="K17" s="2688"/>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92" t="s">
        <v>2239</v>
      </c>
      <c r="C20" s="2692"/>
      <c r="D20" s="2688"/>
      <c r="E20" s="2688"/>
      <c r="F20" s="2688"/>
      <c r="G20" s="2688"/>
      <c r="H20" s="2688"/>
      <c r="I20" s="2688"/>
      <c r="J20" s="2688"/>
      <c r="K20" s="268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88" t="s">
        <v>2241</v>
      </c>
      <c r="C23" s="2688"/>
      <c r="D23" s="2688"/>
      <c r="E23" s="2688"/>
      <c r="F23" s="2688"/>
      <c r="G23" s="2688"/>
      <c r="H23" s="2688"/>
      <c r="I23" s="2688"/>
      <c r="J23" s="2688"/>
      <c r="K23" s="268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88" t="s">
        <v>2248</v>
      </c>
      <c r="C26" s="2688"/>
      <c r="D26" s="2688"/>
      <c r="E26" s="2688"/>
      <c r="F26" s="2688"/>
      <c r="G26" s="2688"/>
      <c r="H26" s="2688"/>
      <c r="I26" s="2688"/>
      <c r="J26" s="2688"/>
      <c r="K26" s="268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87" t="s">
        <v>2242</v>
      </c>
      <c r="C29" s="2687"/>
      <c r="D29" s="2688"/>
      <c r="E29" s="2688"/>
      <c r="F29" s="2688"/>
      <c r="G29" s="2688"/>
      <c r="H29" s="2688"/>
      <c r="I29" s="2688"/>
      <c r="J29" s="2688"/>
      <c r="K29" s="268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87" t="s">
        <v>2243</v>
      </c>
      <c r="C32" s="2687"/>
      <c r="D32" s="2688"/>
      <c r="E32" s="2688"/>
      <c r="F32" s="2688"/>
      <c r="G32" s="2688"/>
      <c r="H32" s="2688"/>
      <c r="I32" s="2688"/>
      <c r="J32" s="2688"/>
      <c r="K32" s="268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66" t="str">
        <f>'Finding 2019-001'!B1:K1</f>
        <v>West Central IL Spec Educ Coop</v>
      </c>
      <c r="C1" s="2666"/>
      <c r="D1" s="2666"/>
      <c r="E1" s="2666"/>
      <c r="F1" s="2666"/>
      <c r="G1" s="2666"/>
      <c r="H1" s="2666"/>
      <c r="I1" s="2666"/>
      <c r="J1" s="2666"/>
      <c r="K1" s="2666"/>
      <c r="L1" s="1446"/>
    </row>
    <row r="2" spans="1:12" ht="12.75" customHeight="1" x14ac:dyDescent="0.2">
      <c r="B2" s="2668">
        <f>'Finding 2019-001'!B2:K2</f>
        <v>26062000061</v>
      </c>
      <c r="C2" s="2668"/>
      <c r="D2" s="2668"/>
      <c r="E2" s="2668"/>
      <c r="F2" s="2668"/>
      <c r="G2" s="2668"/>
      <c r="H2" s="2668"/>
      <c r="I2" s="2668"/>
      <c r="J2" s="2668"/>
      <c r="K2" s="2668"/>
      <c r="L2" s="1447"/>
    </row>
    <row r="3" spans="1:12" ht="12.75" customHeight="1" x14ac:dyDescent="0.2">
      <c r="B3" s="2693" t="s">
        <v>1285</v>
      </c>
      <c r="C3" s="2693"/>
      <c r="D3" s="2693"/>
      <c r="E3" s="2693"/>
      <c r="F3" s="2693"/>
      <c r="G3" s="2693"/>
      <c r="H3" s="2693"/>
      <c r="I3" s="2693"/>
      <c r="J3" s="2693"/>
      <c r="K3" s="2693"/>
      <c r="L3" s="1955"/>
    </row>
    <row r="4" spans="1:12" ht="12.75" customHeight="1" x14ac:dyDescent="0.2">
      <c r="B4" s="2693" t="s">
        <v>1986</v>
      </c>
      <c r="C4" s="2693"/>
      <c r="D4" s="2693"/>
      <c r="E4" s="2693"/>
      <c r="F4" s="2693"/>
      <c r="G4" s="2693"/>
      <c r="H4" s="2693"/>
      <c r="I4" s="2693"/>
      <c r="J4" s="2693"/>
      <c r="K4" s="2693"/>
      <c r="L4" s="1955"/>
    </row>
    <row r="5" spans="1:12" ht="5.25" customHeight="1" x14ac:dyDescent="0.2">
      <c r="B5" s="1254" t="s">
        <v>1169</v>
      </c>
      <c r="C5" s="1254"/>
      <c r="L5" s="322"/>
    </row>
    <row r="6" spans="1:12" ht="30.75" customHeight="1" x14ac:dyDescent="0.2">
      <c r="A6" s="322"/>
      <c r="B6" s="2694" t="s">
        <v>1308</v>
      </c>
      <c r="C6" s="2694"/>
      <c r="D6" s="2694"/>
      <c r="E6" s="2694"/>
      <c r="F6" s="2694"/>
      <c r="G6" s="2694"/>
      <c r="H6" s="2694"/>
      <c r="I6" s="2694"/>
      <c r="J6" s="2694"/>
      <c r="K6" s="2694"/>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2695" t="s">
        <v>2234</v>
      </c>
      <c r="D8" s="2695"/>
      <c r="E8" s="322"/>
      <c r="F8" s="1378" t="s">
        <v>1295</v>
      </c>
      <c r="G8" s="1450" t="s">
        <v>2079</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73" t="s">
        <v>2113</v>
      </c>
      <c r="G12" s="2673"/>
      <c r="H12" s="2673"/>
      <c r="I12" s="2673"/>
      <c r="J12" s="2673"/>
      <c r="K12" s="267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96" t="s">
        <v>2114</v>
      </c>
      <c r="E14" s="2696"/>
      <c r="F14" s="2696"/>
      <c r="H14" s="1381" t="s">
        <v>2256</v>
      </c>
      <c r="I14" s="1381"/>
      <c r="J14" s="2696" t="s">
        <v>2114</v>
      </c>
      <c r="K14" s="2696"/>
      <c r="L14" s="2696"/>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97" t="s">
        <v>2115</v>
      </c>
      <c r="E16" s="2697"/>
      <c r="F16" s="2697"/>
      <c r="G16" s="2697"/>
      <c r="H16" s="2697"/>
      <c r="I16" s="2697"/>
      <c r="J16" s="2697"/>
      <c r="K16" s="2697"/>
      <c r="L16" s="322"/>
    </row>
    <row r="17" spans="2:12" ht="13.5" customHeight="1" x14ac:dyDescent="0.2">
      <c r="B17" s="1381" t="s">
        <v>1301</v>
      </c>
      <c r="C17" s="1381"/>
      <c r="D17" s="2698" t="s">
        <v>2230</v>
      </c>
      <c r="E17" s="2698"/>
      <c r="F17" s="2698"/>
      <c r="G17" s="2698"/>
      <c r="H17" s="2698"/>
      <c r="I17" s="2698"/>
      <c r="J17" s="2698"/>
      <c r="K17" s="2698"/>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46.5" customHeight="1" x14ac:dyDescent="0.2">
      <c r="B20" s="2688" t="s">
        <v>2116</v>
      </c>
      <c r="C20" s="2688"/>
      <c r="D20" s="2688"/>
      <c r="E20" s="2688"/>
      <c r="F20" s="2688"/>
      <c r="G20" s="2688"/>
      <c r="H20" s="2688"/>
      <c r="I20" s="2688"/>
      <c r="J20" s="2688"/>
      <c r="K20" s="268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88" t="s">
        <v>2117</v>
      </c>
      <c r="C23" s="2688"/>
      <c r="D23" s="2688"/>
      <c r="E23" s="2688"/>
      <c r="F23" s="2688"/>
      <c r="G23" s="2688"/>
      <c r="H23" s="2688"/>
      <c r="I23" s="2688"/>
      <c r="J23" s="2688"/>
      <c r="K23" s="268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88" t="s">
        <v>2118</v>
      </c>
      <c r="C26" s="2688"/>
      <c r="D26" s="2688"/>
      <c r="E26" s="2688"/>
      <c r="F26" s="2688"/>
      <c r="G26" s="2688"/>
      <c r="H26" s="2688"/>
      <c r="I26" s="2688"/>
      <c r="J26" s="2688"/>
      <c r="K26" s="268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40.5" customHeight="1" x14ac:dyDescent="0.2">
      <c r="B29" s="2688" t="s">
        <v>2119</v>
      </c>
      <c r="C29" s="2688"/>
      <c r="D29" s="2688"/>
      <c r="E29" s="2688"/>
      <c r="F29" s="2688"/>
      <c r="G29" s="2688"/>
      <c r="H29" s="2688"/>
      <c r="I29" s="2688"/>
      <c r="J29" s="2688"/>
      <c r="K29" s="268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88" t="s">
        <v>2249</v>
      </c>
      <c r="C32" s="2688"/>
      <c r="D32" s="2688"/>
      <c r="E32" s="2688"/>
      <c r="F32" s="2688"/>
      <c r="G32" s="2688"/>
      <c r="H32" s="2688"/>
      <c r="I32" s="2688"/>
      <c r="J32" s="2688"/>
      <c r="K32" s="268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88" t="s">
        <v>2120</v>
      </c>
      <c r="C35" s="2688"/>
      <c r="D35" s="2688"/>
      <c r="E35" s="2688"/>
      <c r="F35" s="2688"/>
      <c r="G35" s="2688"/>
      <c r="H35" s="2688"/>
      <c r="I35" s="2688"/>
      <c r="J35" s="2688"/>
      <c r="K35" s="268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46.5" customHeight="1" x14ac:dyDescent="0.2">
      <c r="B38" s="2688" t="s">
        <v>2121</v>
      </c>
      <c r="C38" s="2688"/>
      <c r="D38" s="2688"/>
      <c r="E38" s="2688"/>
      <c r="F38" s="2688"/>
      <c r="G38" s="2688"/>
      <c r="H38" s="2688"/>
      <c r="I38" s="2688"/>
      <c r="J38" s="2688"/>
      <c r="K38" s="268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88" t="s">
        <v>2122</v>
      </c>
      <c r="C41" s="2688"/>
      <c r="D41" s="2688"/>
      <c r="E41" s="2688"/>
      <c r="F41" s="2688"/>
      <c r="G41" s="2688"/>
      <c r="H41" s="2688"/>
      <c r="I41" s="2688"/>
      <c r="J41" s="2688"/>
      <c r="K41" s="2688"/>
    </row>
    <row r="42" spans="2:12" s="322" customFormat="1" ht="4.5" customHeight="1" x14ac:dyDescent="0.2">
      <c r="B42" s="1396"/>
      <c r="C42" s="1396"/>
      <c r="G42" s="1377"/>
      <c r="I42" s="1377"/>
    </row>
    <row r="43" spans="2:12" s="322" customFormat="1" ht="13.5" customHeight="1" x14ac:dyDescent="0.2">
      <c r="B43" s="1958" t="s">
        <v>2123</v>
      </c>
      <c r="C43" s="1959"/>
      <c r="D43" s="1960"/>
      <c r="E43" s="1960"/>
      <c r="F43" s="1960"/>
      <c r="G43" s="1961"/>
      <c r="H43" s="1960"/>
      <c r="I43" s="1961"/>
      <c r="J43" s="1960"/>
      <c r="K43" s="1962"/>
      <c r="L43" s="1963"/>
    </row>
    <row r="44" spans="2:12" s="322" customFormat="1" ht="13.5" customHeight="1" x14ac:dyDescent="0.2">
      <c r="B44" s="1964" t="s">
        <v>2124</v>
      </c>
      <c r="C44" s="1965"/>
      <c r="D44" s="1966"/>
      <c r="E44" s="1967"/>
      <c r="F44" s="1968" t="s">
        <v>2125</v>
      </c>
      <c r="G44" s="1969"/>
      <c r="H44" s="1970"/>
      <c r="I44" s="1969"/>
      <c r="J44" s="1971"/>
      <c r="K44" s="1972"/>
      <c r="L44" s="1963"/>
    </row>
    <row r="45" spans="2:12" s="322" customFormat="1" ht="13.5" customHeight="1" x14ac:dyDescent="0.2">
      <c r="B45" s="1964" t="s">
        <v>2126</v>
      </c>
      <c r="C45" s="1965"/>
      <c r="D45" s="1971"/>
      <c r="E45" s="1970"/>
      <c r="F45" s="1968" t="s">
        <v>2127</v>
      </c>
      <c r="G45" s="1969"/>
      <c r="H45" s="1970"/>
      <c r="I45" s="1969"/>
      <c r="J45" s="1971"/>
      <c r="K45" s="1972"/>
      <c r="L45" s="1963"/>
    </row>
    <row r="46" spans="2:12" s="322" customFormat="1" ht="13.5" customHeight="1" x14ac:dyDescent="0.2">
      <c r="B46" s="1973"/>
      <c r="C46" s="1974"/>
      <c r="D46" s="1974"/>
      <c r="E46" s="1974"/>
      <c r="F46" s="1974"/>
      <c r="G46" s="1975"/>
      <c r="H46" s="1974"/>
      <c r="I46" s="1975"/>
      <c r="J46" s="1974"/>
      <c r="K46" s="1976"/>
      <c r="L46" s="1963"/>
    </row>
    <row r="47" spans="2:12" ht="7.5" customHeight="1" x14ac:dyDescent="0.25">
      <c r="B47" s="1463"/>
      <c r="C47" s="1463"/>
      <c r="D47" s="1464"/>
      <c r="E47" s="1464"/>
      <c r="F47" s="1464"/>
      <c r="G47" s="1465"/>
      <c r="H47" s="1464"/>
      <c r="I47" s="1465"/>
      <c r="J47" s="1464"/>
      <c r="K47" s="1464"/>
    </row>
    <row r="48" spans="2:12" ht="13.5" customHeight="1" x14ac:dyDescent="0.2">
      <c r="B48" s="1400" t="s">
        <v>1758</v>
      </c>
      <c r="C48" s="1400"/>
      <c r="D48" s="322"/>
      <c r="E48" s="322"/>
      <c r="F48" s="322"/>
    </row>
    <row r="49" spans="2:3" s="317" customFormat="1" ht="10.5" customHeight="1" x14ac:dyDescent="0.2">
      <c r="B49" s="1401" t="s">
        <v>1759</v>
      </c>
      <c r="C49" s="1401"/>
    </row>
    <row r="50" spans="2:3" s="317" customFormat="1" ht="11.1" customHeight="1" x14ac:dyDescent="0.2">
      <c r="B50" s="1401" t="s">
        <v>1760</v>
      </c>
      <c r="C50" s="1401"/>
    </row>
    <row r="51" spans="2:3" s="317" customFormat="1" ht="11.1" customHeight="1" x14ac:dyDescent="0.2">
      <c r="B51" s="1401" t="s">
        <v>1761</v>
      </c>
      <c r="C51" s="1401"/>
    </row>
    <row r="52" spans="2:3" s="317" customFormat="1" ht="11.1" customHeight="1" x14ac:dyDescent="0.2">
      <c r="B52" s="1401" t="s">
        <v>1762</v>
      </c>
      <c r="C52" s="1401"/>
    </row>
  </sheetData>
  <mergeCells count="19">
    <mergeCell ref="B20:K20"/>
    <mergeCell ref="B1:K1"/>
    <mergeCell ref="B2:K2"/>
    <mergeCell ref="B3:K3"/>
    <mergeCell ref="B4:K4"/>
    <mergeCell ref="B6:K6"/>
    <mergeCell ref="C8:D8"/>
    <mergeCell ref="F12:K12"/>
    <mergeCell ref="D14:F14"/>
    <mergeCell ref="D16:K16"/>
    <mergeCell ref="D17:K17"/>
    <mergeCell ref="J14:L14"/>
    <mergeCell ref="B41:K41"/>
    <mergeCell ref="B23:K23"/>
    <mergeCell ref="B26:K26"/>
    <mergeCell ref="B29:K29"/>
    <mergeCell ref="B32:K32"/>
    <mergeCell ref="B35:K35"/>
    <mergeCell ref="B38:K38"/>
  </mergeCells>
  <pageMargins left="0.32"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66" t="str">
        <f>'Finding 2019-003'!B1:K1</f>
        <v>West Central IL Spec Educ Coop</v>
      </c>
      <c r="C1" s="2666"/>
      <c r="D1" s="2666"/>
      <c r="E1" s="2666"/>
      <c r="F1" s="2666"/>
      <c r="G1" s="2666"/>
      <c r="H1" s="2666"/>
      <c r="I1" s="2666"/>
      <c r="J1" s="2666"/>
      <c r="K1" s="2666"/>
      <c r="L1" s="1446"/>
    </row>
    <row r="2" spans="1:12" ht="12.75" customHeight="1" x14ac:dyDescent="0.2">
      <c r="B2" s="2668">
        <f>'Finding 2019-003'!B2:K2</f>
        <v>26062000061</v>
      </c>
      <c r="C2" s="2668"/>
      <c r="D2" s="2668"/>
      <c r="E2" s="2668"/>
      <c r="F2" s="2668"/>
      <c r="G2" s="2668"/>
      <c r="H2" s="2668"/>
      <c r="I2" s="2668"/>
      <c r="J2" s="2668"/>
      <c r="K2" s="2668"/>
      <c r="L2" s="1447"/>
    </row>
    <row r="3" spans="1:12" ht="12.75" customHeight="1" x14ac:dyDescent="0.2">
      <c r="B3" s="2693" t="s">
        <v>1285</v>
      </c>
      <c r="C3" s="2693"/>
      <c r="D3" s="2693"/>
      <c r="E3" s="2693"/>
      <c r="F3" s="2693"/>
      <c r="G3" s="2693"/>
      <c r="H3" s="2693"/>
      <c r="I3" s="2693"/>
      <c r="J3" s="2693"/>
      <c r="K3" s="2693"/>
      <c r="L3" s="2141"/>
    </row>
    <row r="4" spans="1:12" ht="12.75" customHeight="1" x14ac:dyDescent="0.2">
      <c r="B4" s="2693" t="s">
        <v>1986</v>
      </c>
      <c r="C4" s="2693"/>
      <c r="D4" s="2693"/>
      <c r="E4" s="2693"/>
      <c r="F4" s="2693"/>
      <c r="G4" s="2693"/>
      <c r="H4" s="2693"/>
      <c r="I4" s="2693"/>
      <c r="J4" s="2693"/>
      <c r="K4" s="2693"/>
      <c r="L4" s="2141"/>
    </row>
    <row r="5" spans="1:12" ht="5.25" customHeight="1" x14ac:dyDescent="0.2">
      <c r="B5" s="1254" t="s">
        <v>1169</v>
      </c>
      <c r="C5" s="1254"/>
      <c r="L5" s="322"/>
    </row>
    <row r="6" spans="1:12" ht="30.75" customHeight="1" x14ac:dyDescent="0.2">
      <c r="A6" s="322"/>
      <c r="B6" s="2694" t="s">
        <v>1308</v>
      </c>
      <c r="C6" s="2694"/>
      <c r="D6" s="2694"/>
      <c r="E6" s="2694"/>
      <c r="F6" s="2694"/>
      <c r="G6" s="2694"/>
      <c r="H6" s="2694"/>
      <c r="I6" s="2694"/>
      <c r="J6" s="2694"/>
      <c r="K6" s="2694"/>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2695" t="s">
        <v>2237</v>
      </c>
      <c r="D8" s="2695"/>
      <c r="E8" s="322"/>
      <c r="F8" s="1378" t="s">
        <v>1295</v>
      </c>
      <c r="G8" s="1450" t="s">
        <v>2079</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73" t="s">
        <v>2113</v>
      </c>
      <c r="G12" s="2673"/>
      <c r="H12" s="2673"/>
      <c r="I12" s="2673"/>
      <c r="J12" s="2673"/>
      <c r="K12" s="267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96" t="s">
        <v>2114</v>
      </c>
      <c r="E14" s="2696"/>
      <c r="F14" s="2696"/>
      <c r="H14" s="1456" t="s">
        <v>1303</v>
      </c>
      <c r="I14" s="2697">
        <v>84.027000000000001</v>
      </c>
      <c r="J14" s="2697"/>
      <c r="K14" s="269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97" t="s">
        <v>2115</v>
      </c>
      <c r="E16" s="2697"/>
      <c r="F16" s="2697"/>
      <c r="G16" s="2697"/>
      <c r="H16" s="2697"/>
      <c r="I16" s="2697"/>
      <c r="J16" s="2697"/>
      <c r="K16" s="2697"/>
      <c r="L16" s="322"/>
    </row>
    <row r="17" spans="2:12" ht="13.5" customHeight="1" x14ac:dyDescent="0.2">
      <c r="B17" s="1381" t="s">
        <v>1301</v>
      </c>
      <c r="C17" s="1381"/>
      <c r="D17" s="2699" t="s">
        <v>2230</v>
      </c>
      <c r="E17" s="2699"/>
      <c r="F17" s="2699"/>
      <c r="G17" s="2699"/>
      <c r="H17" s="2699"/>
      <c r="I17" s="2699"/>
      <c r="J17" s="2699"/>
      <c r="K17" s="269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54.75" customHeight="1" x14ac:dyDescent="0.2">
      <c r="B20" s="2688" t="s">
        <v>2229</v>
      </c>
      <c r="C20" s="2688"/>
      <c r="D20" s="2688"/>
      <c r="E20" s="2688"/>
      <c r="F20" s="2688"/>
      <c r="G20" s="2688"/>
      <c r="H20" s="2688"/>
      <c r="I20" s="2688"/>
      <c r="J20" s="2688"/>
      <c r="K20" s="268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54.75" customHeight="1" x14ac:dyDescent="0.2">
      <c r="B23" s="2688" t="s">
        <v>2250</v>
      </c>
      <c r="C23" s="2688"/>
      <c r="D23" s="2688"/>
      <c r="E23" s="2688"/>
      <c r="F23" s="2688"/>
      <c r="G23" s="2688"/>
      <c r="H23" s="2688"/>
      <c r="I23" s="2688"/>
      <c r="J23" s="2688"/>
      <c r="K23" s="268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88" t="s">
        <v>2118</v>
      </c>
      <c r="C26" s="2688"/>
      <c r="D26" s="2688"/>
      <c r="E26" s="2688"/>
      <c r="F26" s="2688"/>
      <c r="G26" s="2688"/>
      <c r="H26" s="2688"/>
      <c r="I26" s="2688"/>
      <c r="J26" s="2688"/>
      <c r="K26" s="268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40.5" customHeight="1" x14ac:dyDescent="0.2">
      <c r="B29" s="2688" t="s">
        <v>2236</v>
      </c>
      <c r="C29" s="2688"/>
      <c r="D29" s="2688"/>
      <c r="E29" s="2688"/>
      <c r="F29" s="2688"/>
      <c r="G29" s="2688"/>
      <c r="H29" s="2688"/>
      <c r="I29" s="2688"/>
      <c r="J29" s="2688"/>
      <c r="K29" s="268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88" t="s">
        <v>2225</v>
      </c>
      <c r="C32" s="2688"/>
      <c r="D32" s="2688"/>
      <c r="E32" s="2688"/>
      <c r="F32" s="2688"/>
      <c r="G32" s="2688"/>
      <c r="H32" s="2688"/>
      <c r="I32" s="2688"/>
      <c r="J32" s="2688"/>
      <c r="K32" s="268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88" t="s">
        <v>2226</v>
      </c>
      <c r="C35" s="2688"/>
      <c r="D35" s="2688"/>
      <c r="E35" s="2688"/>
      <c r="F35" s="2688"/>
      <c r="G35" s="2688"/>
      <c r="H35" s="2688"/>
      <c r="I35" s="2688"/>
      <c r="J35" s="2688"/>
      <c r="K35" s="268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46.5" customHeight="1" x14ac:dyDescent="0.2">
      <c r="B38" s="2688" t="s">
        <v>2227</v>
      </c>
      <c r="C38" s="2688"/>
      <c r="D38" s="2688"/>
      <c r="E38" s="2688"/>
      <c r="F38" s="2688"/>
      <c r="G38" s="2688"/>
      <c r="H38" s="2688"/>
      <c r="I38" s="2688"/>
      <c r="J38" s="2688"/>
      <c r="K38" s="268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88" t="s">
        <v>2228</v>
      </c>
      <c r="C41" s="2688"/>
      <c r="D41" s="2688"/>
      <c r="E41" s="2688"/>
      <c r="F41" s="2688"/>
      <c r="G41" s="2688"/>
      <c r="H41" s="2688"/>
      <c r="I41" s="2688"/>
      <c r="J41" s="2688"/>
      <c r="K41" s="2688"/>
    </row>
    <row r="42" spans="2:12" s="322" customFormat="1" ht="4.5" customHeight="1" x14ac:dyDescent="0.2">
      <c r="B42" s="1396"/>
      <c r="C42" s="1396"/>
      <c r="G42" s="1377"/>
      <c r="I42" s="1377"/>
    </row>
    <row r="43" spans="2:12" s="322" customFormat="1" ht="13.5" customHeight="1" x14ac:dyDescent="0.2">
      <c r="B43" s="1958" t="s">
        <v>2123</v>
      </c>
      <c r="C43" s="1959"/>
      <c r="D43" s="1960"/>
      <c r="E43" s="1960"/>
      <c r="F43" s="1960"/>
      <c r="G43" s="1961"/>
      <c r="H43" s="1960"/>
      <c r="I43" s="1961"/>
      <c r="J43" s="1960"/>
      <c r="K43" s="1962"/>
      <c r="L43" s="1963"/>
    </row>
    <row r="44" spans="2:12" s="322" customFormat="1" ht="13.5" customHeight="1" x14ac:dyDescent="0.2">
      <c r="B44" s="1964" t="s">
        <v>2124</v>
      </c>
      <c r="C44" s="1965"/>
      <c r="D44" s="1966"/>
      <c r="E44" s="1967"/>
      <c r="F44" s="1968" t="s">
        <v>2125</v>
      </c>
      <c r="G44" s="1969"/>
      <c r="H44" s="1970"/>
      <c r="I44" s="1969"/>
      <c r="J44" s="1971"/>
      <c r="K44" s="1972"/>
      <c r="L44" s="1963"/>
    </row>
    <row r="45" spans="2:12" s="322" customFormat="1" ht="13.5" customHeight="1" x14ac:dyDescent="0.2">
      <c r="B45" s="1964" t="s">
        <v>2126</v>
      </c>
      <c r="C45" s="1965"/>
      <c r="D45" s="1971"/>
      <c r="E45" s="1970"/>
      <c r="F45" s="1968" t="s">
        <v>2127</v>
      </c>
      <c r="G45" s="1969"/>
      <c r="H45" s="1970"/>
      <c r="I45" s="1969"/>
      <c r="J45" s="1971"/>
      <c r="K45" s="1972"/>
      <c r="L45" s="1963"/>
    </row>
    <row r="46" spans="2:12" s="322" customFormat="1" ht="13.5" customHeight="1" x14ac:dyDescent="0.2">
      <c r="B46" s="1973"/>
      <c r="C46" s="1974"/>
      <c r="D46" s="1974"/>
      <c r="E46" s="1974"/>
      <c r="F46" s="1974"/>
      <c r="G46" s="1975"/>
      <c r="H46" s="1974"/>
      <c r="I46" s="1975"/>
      <c r="J46" s="1974"/>
      <c r="K46" s="1976"/>
      <c r="L46" s="1963"/>
    </row>
    <row r="47" spans="2:12" ht="7.5" customHeight="1" x14ac:dyDescent="0.25">
      <c r="B47" s="1463"/>
      <c r="C47" s="1463"/>
      <c r="D47" s="1464"/>
      <c r="E47" s="1464"/>
      <c r="F47" s="1464"/>
      <c r="G47" s="1465"/>
      <c r="H47" s="1464"/>
      <c r="I47" s="1465"/>
      <c r="J47" s="1464"/>
      <c r="K47" s="1464"/>
    </row>
    <row r="48" spans="2:12" ht="13.5" customHeight="1" x14ac:dyDescent="0.2">
      <c r="B48" s="1400" t="s">
        <v>1758</v>
      </c>
      <c r="C48" s="1400"/>
      <c r="D48" s="322"/>
      <c r="E48" s="322"/>
      <c r="F48" s="322"/>
    </row>
    <row r="49" spans="2:3" s="317" customFormat="1" ht="10.5" customHeight="1" x14ac:dyDescent="0.2">
      <c r="B49" s="1401" t="s">
        <v>1759</v>
      </c>
      <c r="C49" s="1401"/>
    </row>
    <row r="50" spans="2:3" s="317" customFormat="1" ht="11.1" customHeight="1" x14ac:dyDescent="0.2">
      <c r="B50" s="1401" t="s">
        <v>1760</v>
      </c>
      <c r="C50" s="1401"/>
    </row>
    <row r="51" spans="2:3" s="317" customFormat="1" ht="11.1" customHeight="1" x14ac:dyDescent="0.2">
      <c r="B51" s="1401" t="s">
        <v>1761</v>
      </c>
      <c r="C51" s="1401"/>
    </row>
    <row r="52" spans="2:3" s="317" customFormat="1" ht="11.1" customHeight="1" x14ac:dyDescent="0.2">
      <c r="B52" s="1401" t="s">
        <v>1762</v>
      </c>
      <c r="C52" s="1401"/>
    </row>
  </sheetData>
  <mergeCells count="19">
    <mergeCell ref="B41:K41"/>
    <mergeCell ref="B23:K23"/>
    <mergeCell ref="B26:K26"/>
    <mergeCell ref="B29:K29"/>
    <mergeCell ref="B32:K32"/>
    <mergeCell ref="B35:K35"/>
    <mergeCell ref="B38:K38"/>
    <mergeCell ref="B20:K20"/>
    <mergeCell ref="B1:K1"/>
    <mergeCell ref="B2:K2"/>
    <mergeCell ref="B3:K3"/>
    <mergeCell ref="B4:K4"/>
    <mergeCell ref="B6:K6"/>
    <mergeCell ref="C8:D8"/>
    <mergeCell ref="F12:K12"/>
    <mergeCell ref="D14:F14"/>
    <mergeCell ref="I14:K14"/>
    <mergeCell ref="D16:K16"/>
    <mergeCell ref="D17:K17"/>
  </mergeCells>
  <pageMargins left="0.32" right="0.27" top="0.44" bottom="0.27" header="0.26" footer="0.18"/>
  <pageSetup scale="91"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6" t="str">
        <f>'Single Audit Cover'!A7</f>
        <v>West Central IL Spec Educ Coop</v>
      </c>
      <c r="C1" s="2666"/>
      <c r="D1" s="2666"/>
      <c r="E1" s="2666"/>
      <c r="F1" s="2666"/>
      <c r="G1" s="2666"/>
      <c r="H1" s="2666"/>
      <c r="I1" s="2666"/>
      <c r="J1" s="2666"/>
      <c r="K1" s="2666"/>
      <c r="L1" s="1368"/>
      <c r="M1" s="1368"/>
    </row>
    <row r="2" spans="1:13" ht="12" customHeight="1" x14ac:dyDescent="0.2">
      <c r="B2" s="2668">
        <f>'Single Audit Cover'!E7</f>
        <v>26062000061</v>
      </c>
      <c r="C2" s="2668"/>
      <c r="D2" s="2668"/>
      <c r="E2" s="2668"/>
      <c r="F2" s="2668"/>
      <c r="G2" s="2668"/>
      <c r="H2" s="2668"/>
      <c r="I2" s="2668"/>
      <c r="J2" s="2668"/>
      <c r="K2" s="2668"/>
      <c r="L2" s="1369"/>
      <c r="M2" s="1370"/>
    </row>
    <row r="3" spans="1:13" ht="10.35" customHeight="1" x14ac:dyDescent="0.2">
      <c r="B3" s="2689" t="s">
        <v>1285</v>
      </c>
      <c r="C3" s="2689"/>
      <c r="D3" s="2689"/>
      <c r="E3" s="2689"/>
      <c r="F3" s="2689"/>
      <c r="G3" s="2689"/>
      <c r="H3" s="2689"/>
      <c r="I3" s="2689"/>
      <c r="J3" s="2689"/>
      <c r="K3" s="2689"/>
      <c r="L3" s="1371"/>
      <c r="M3" s="1371"/>
    </row>
    <row r="4" spans="1:13" ht="14.25" customHeight="1" x14ac:dyDescent="0.2">
      <c r="B4" s="2690" t="str">
        <f>'Single Audit Cover'!A4</f>
        <v>Year Ending June 30, 2019</v>
      </c>
      <c r="C4" s="2690"/>
      <c r="D4" s="2690"/>
      <c r="E4" s="2690"/>
      <c r="F4" s="2690"/>
      <c r="G4" s="2690"/>
      <c r="H4" s="2690"/>
      <c r="I4" s="2690"/>
      <c r="J4" s="2690"/>
      <c r="K4" s="269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90" t="s">
        <v>1296</v>
      </c>
      <c r="C7" s="2690"/>
      <c r="D7" s="2691"/>
      <c r="E7" s="2691"/>
      <c r="F7" s="2691"/>
      <c r="G7" s="2691"/>
      <c r="H7" s="2691"/>
      <c r="I7" s="2691"/>
      <c r="J7" s="2691"/>
      <c r="K7" s="269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88"/>
      <c r="C14" s="2688"/>
      <c r="D14" s="2688"/>
      <c r="E14" s="2688"/>
      <c r="F14" s="2688"/>
      <c r="G14" s="2688"/>
      <c r="H14" s="2688"/>
      <c r="I14" s="2688"/>
      <c r="J14" s="2688"/>
      <c r="K14" s="268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88"/>
      <c r="C17" s="2688"/>
      <c r="D17" s="2688"/>
      <c r="E17" s="2688"/>
      <c r="F17" s="2688"/>
      <c r="G17" s="2688"/>
      <c r="H17" s="2688"/>
      <c r="I17" s="2688"/>
      <c r="J17" s="2688"/>
      <c r="K17" s="2688"/>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92"/>
      <c r="C20" s="2692"/>
      <c r="D20" s="2688"/>
      <c r="E20" s="2688"/>
      <c r="F20" s="2688"/>
      <c r="G20" s="2688"/>
      <c r="H20" s="2688"/>
      <c r="I20" s="2688"/>
      <c r="J20" s="2688"/>
      <c r="K20" s="268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88"/>
      <c r="C23" s="2688"/>
      <c r="D23" s="2688"/>
      <c r="E23" s="2688"/>
      <c r="F23" s="2688"/>
      <c r="G23" s="2688"/>
      <c r="H23" s="2688"/>
      <c r="I23" s="2688"/>
      <c r="J23" s="2688"/>
      <c r="K23" s="268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88"/>
      <c r="C26" s="2688"/>
      <c r="D26" s="2688"/>
      <c r="E26" s="2688"/>
      <c r="F26" s="2688"/>
      <c r="G26" s="2688"/>
      <c r="H26" s="2688"/>
      <c r="I26" s="2688"/>
      <c r="J26" s="2688"/>
      <c r="K26" s="268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87"/>
      <c r="C29" s="2687"/>
      <c r="D29" s="2688"/>
      <c r="E29" s="2688"/>
      <c r="F29" s="2688"/>
      <c r="G29" s="2688"/>
      <c r="H29" s="2688"/>
      <c r="I29" s="2688"/>
      <c r="J29" s="2688"/>
      <c r="K29" s="268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87"/>
      <c r="C32" s="2687"/>
      <c r="D32" s="2688"/>
      <c r="E32" s="2688"/>
      <c r="F32" s="2688"/>
      <c r="G32" s="2688"/>
      <c r="H32" s="2688"/>
      <c r="I32" s="2688"/>
      <c r="J32" s="2688"/>
      <c r="K32" s="268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00" t="str">
        <f>'Single Audit Cover'!A7</f>
        <v>West Central IL Spec Educ Coop</v>
      </c>
      <c r="C1" s="2700"/>
      <c r="D1" s="2700"/>
      <c r="E1" s="2700"/>
      <c r="F1" s="2700"/>
      <c r="G1" s="2700"/>
      <c r="H1" s="2700"/>
      <c r="I1" s="2700"/>
      <c r="J1" s="2700"/>
      <c r="K1" s="2700"/>
      <c r="L1" s="1446"/>
    </row>
    <row r="2" spans="1:12" ht="12.75" customHeight="1" x14ac:dyDescent="0.2">
      <c r="B2" s="2701">
        <f>'Single Audit Cover'!E7</f>
        <v>26062000061</v>
      </c>
      <c r="C2" s="2701"/>
      <c r="D2" s="2701"/>
      <c r="E2" s="2701"/>
      <c r="F2" s="2701"/>
      <c r="G2" s="2701"/>
      <c r="H2" s="2701"/>
      <c r="I2" s="2701"/>
      <c r="J2" s="2701"/>
      <c r="K2" s="2701"/>
      <c r="L2" s="1447"/>
    </row>
    <row r="3" spans="1:12" ht="12.75" customHeight="1" x14ac:dyDescent="0.2">
      <c r="B3" s="2689" t="s">
        <v>1285</v>
      </c>
      <c r="C3" s="2689"/>
      <c r="D3" s="2689"/>
      <c r="E3" s="2689"/>
      <c r="F3" s="2689"/>
      <c r="G3" s="2689"/>
      <c r="H3" s="2689"/>
      <c r="I3" s="2689"/>
      <c r="J3" s="2689"/>
      <c r="K3" s="2689"/>
      <c r="L3" s="1371"/>
    </row>
    <row r="4" spans="1:12" ht="12.75" customHeight="1" x14ac:dyDescent="0.2">
      <c r="B4" s="2689" t="str">
        <f>'Single Audit Cover'!A4</f>
        <v>Year Ending June 30, 2019</v>
      </c>
      <c r="C4" s="2689"/>
      <c r="D4" s="2689"/>
      <c r="E4" s="2689"/>
      <c r="F4" s="2689"/>
      <c r="G4" s="2689"/>
      <c r="H4" s="2689"/>
      <c r="I4" s="2689"/>
      <c r="J4" s="2689"/>
      <c r="K4" s="2689"/>
      <c r="L4" s="1371"/>
    </row>
    <row r="5" spans="1:12" ht="5.25" customHeight="1" x14ac:dyDescent="0.2">
      <c r="B5" s="1254" t="s">
        <v>1169</v>
      </c>
      <c r="C5" s="1254"/>
      <c r="L5" s="322"/>
    </row>
    <row r="6" spans="1:12" ht="30.75" customHeight="1" x14ac:dyDescent="0.2">
      <c r="A6" s="322"/>
      <c r="B6" s="2694" t="s">
        <v>1308</v>
      </c>
      <c r="C6" s="2694"/>
      <c r="D6" s="2694"/>
      <c r="E6" s="2694"/>
      <c r="F6" s="2694"/>
      <c r="G6" s="2694"/>
      <c r="H6" s="2694"/>
      <c r="I6" s="2694"/>
      <c r="J6" s="2694"/>
      <c r="K6" s="2694"/>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73"/>
      <c r="G12" s="2673"/>
      <c r="H12" s="2673"/>
      <c r="I12" s="2673"/>
      <c r="J12" s="2673"/>
      <c r="K12" s="267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96"/>
      <c r="E14" s="2696"/>
      <c r="F14" s="2696"/>
      <c r="H14" s="1456" t="s">
        <v>1303</v>
      </c>
      <c r="I14" s="2697"/>
      <c r="J14" s="2697"/>
      <c r="K14" s="269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97"/>
      <c r="E16" s="2697"/>
      <c r="F16" s="2697"/>
      <c r="G16" s="2697"/>
      <c r="H16" s="2697"/>
      <c r="I16" s="2697"/>
      <c r="J16" s="2697"/>
      <c r="K16" s="2697"/>
      <c r="L16" s="322"/>
    </row>
    <row r="17" spans="2:12" ht="13.5" customHeight="1" x14ac:dyDescent="0.2">
      <c r="B17" s="1381" t="s">
        <v>1301</v>
      </c>
      <c r="C17" s="1381"/>
      <c r="D17" s="2699"/>
      <c r="E17" s="2699"/>
      <c r="F17" s="2699"/>
      <c r="G17" s="2699"/>
      <c r="H17" s="2699"/>
      <c r="I17" s="2699"/>
      <c r="J17" s="2699"/>
      <c r="K17" s="269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688"/>
      <c r="C20" s="2688"/>
      <c r="D20" s="2688"/>
      <c r="E20" s="2688"/>
      <c r="F20" s="2688"/>
      <c r="G20" s="2688"/>
      <c r="H20" s="2688"/>
      <c r="I20" s="2688"/>
      <c r="J20" s="2688"/>
      <c r="K20" s="268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88"/>
      <c r="C23" s="2688"/>
      <c r="D23" s="2688"/>
      <c r="E23" s="2688"/>
      <c r="F23" s="2688"/>
      <c r="G23" s="2688"/>
      <c r="H23" s="2688"/>
      <c r="I23" s="2688"/>
      <c r="J23" s="2688"/>
      <c r="K23" s="268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88"/>
      <c r="C26" s="2688"/>
      <c r="D26" s="2688"/>
      <c r="E26" s="2688"/>
      <c r="F26" s="2688"/>
      <c r="G26" s="2688"/>
      <c r="H26" s="2688"/>
      <c r="I26" s="2688"/>
      <c r="J26" s="2688"/>
      <c r="K26" s="268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688"/>
      <c r="C29" s="2688"/>
      <c r="D29" s="2688"/>
      <c r="E29" s="2688"/>
      <c r="F29" s="2688"/>
      <c r="G29" s="2688"/>
      <c r="H29" s="2688"/>
      <c r="I29" s="2688"/>
      <c r="J29" s="2688"/>
      <c r="K29" s="268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88"/>
      <c r="C32" s="2688"/>
      <c r="D32" s="2688"/>
      <c r="E32" s="2688"/>
      <c r="F32" s="2688"/>
      <c r="G32" s="2688"/>
      <c r="H32" s="2688"/>
      <c r="I32" s="2688"/>
      <c r="J32" s="2688"/>
      <c r="K32" s="268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88"/>
      <c r="C35" s="2688"/>
      <c r="D35" s="2688"/>
      <c r="E35" s="2688"/>
      <c r="F35" s="2688"/>
      <c r="G35" s="2688"/>
      <c r="H35" s="2688"/>
      <c r="I35" s="2688"/>
      <c r="J35" s="2688"/>
      <c r="K35" s="268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88"/>
      <c r="C38" s="2688"/>
      <c r="D38" s="2688"/>
      <c r="E38" s="2688"/>
      <c r="F38" s="2688"/>
      <c r="G38" s="2688"/>
      <c r="H38" s="2688"/>
      <c r="I38" s="2688"/>
      <c r="J38" s="2688"/>
      <c r="K38" s="268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88"/>
      <c r="C41" s="2688"/>
      <c r="D41" s="2688"/>
      <c r="E41" s="2688"/>
      <c r="F41" s="2688"/>
      <c r="G41" s="2688"/>
      <c r="H41" s="2688"/>
      <c r="I41" s="2688"/>
      <c r="J41" s="2688"/>
      <c r="K41" s="2688"/>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66" t="str">
        <f>'Single Audit Cover'!A7</f>
        <v>West Central IL Spec Educ Coop</v>
      </c>
      <c r="C1" s="2666"/>
      <c r="D1" s="2666"/>
      <c r="E1" s="1466"/>
    </row>
    <row r="2" spans="2:5" s="1276" customFormat="1" ht="12.75" customHeight="1" x14ac:dyDescent="0.2">
      <c r="B2" s="2668">
        <f>'Single Audit Cover'!E7</f>
        <v>26062000061</v>
      </c>
      <c r="C2" s="2668"/>
      <c r="D2" s="2668"/>
      <c r="E2" s="1467"/>
    </row>
    <row r="3" spans="2:5" ht="12.75" customHeight="1" x14ac:dyDescent="0.2">
      <c r="B3" s="2689" t="s">
        <v>1763</v>
      </c>
      <c r="C3" s="2689"/>
      <c r="D3" s="2689"/>
      <c r="E3" s="1268"/>
    </row>
    <row r="4" spans="2:5" s="1276" customFormat="1" ht="12.75" customHeight="1" x14ac:dyDescent="0.2">
      <c r="B4" s="2702" t="str">
        <f>'Single Audit Cover'!A4</f>
        <v>Year Ending June 30, 2019</v>
      </c>
      <c r="C4" s="2702"/>
      <c r="D4" s="2702"/>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2090</v>
      </c>
      <c r="C7" s="324" t="s">
        <v>2091</v>
      </c>
      <c r="D7" s="324" t="s">
        <v>2096</v>
      </c>
      <c r="E7" s="324"/>
    </row>
    <row r="8" spans="2:5" ht="13.5" customHeight="1" x14ac:dyDescent="0.2">
      <c r="B8" s="1471" t="s">
        <v>2092</v>
      </c>
      <c r="C8" s="324" t="s">
        <v>2097</v>
      </c>
      <c r="D8" s="324" t="s">
        <v>2095</v>
      </c>
      <c r="E8" s="324"/>
    </row>
    <row r="9" spans="2:5" ht="13.5" customHeight="1" x14ac:dyDescent="0.2">
      <c r="B9" s="1472" t="s">
        <v>2093</v>
      </c>
      <c r="C9" s="323" t="s">
        <v>2094</v>
      </c>
      <c r="D9" s="323" t="s">
        <v>2095</v>
      </c>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704" t="str">
        <f>SSPAF!B1</f>
        <v>West Central IL Spec Educ Coop</v>
      </c>
      <c r="C1" s="2704"/>
      <c r="D1" s="2704"/>
      <c r="E1" s="2704"/>
      <c r="F1" s="1933"/>
      <c r="G1" s="1933"/>
      <c r="H1" s="1933"/>
      <c r="I1" s="1933"/>
      <c r="J1" s="1933"/>
      <c r="K1" s="1933"/>
      <c r="L1" s="1933"/>
    </row>
    <row r="2" spans="2:12" ht="13.5" customHeight="1" x14ac:dyDescent="0.2">
      <c r="B2" s="2705">
        <f>SSPAF!B2</f>
        <v>26062000061</v>
      </c>
      <c r="C2" s="2705"/>
      <c r="D2" s="2705"/>
      <c r="E2" s="2705"/>
      <c r="F2" s="1935"/>
      <c r="G2" s="1935"/>
      <c r="H2" s="1935"/>
      <c r="I2" s="1935"/>
      <c r="J2" s="1935"/>
      <c r="K2" s="1935"/>
      <c r="L2" s="1935"/>
    </row>
    <row r="3" spans="2:12" ht="13.5" customHeight="1" x14ac:dyDescent="0.2">
      <c r="B3" s="2706" t="s">
        <v>2098</v>
      </c>
      <c r="C3" s="2706"/>
      <c r="D3" s="2706"/>
      <c r="E3" s="2706"/>
      <c r="F3" s="1936"/>
      <c r="G3" s="1936"/>
      <c r="H3" s="1936"/>
      <c r="I3" s="1936"/>
      <c r="J3" s="1936"/>
      <c r="K3" s="1936"/>
      <c r="L3" s="1936"/>
    </row>
    <row r="4" spans="2:12" ht="13.5" customHeight="1" x14ac:dyDescent="0.2">
      <c r="B4" s="2707" t="s">
        <v>1986</v>
      </c>
      <c r="C4" s="2707"/>
      <c r="D4" s="2707"/>
      <c r="E4" s="2707"/>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1988</v>
      </c>
      <c r="D8" s="1944">
        <v>1</v>
      </c>
    </row>
    <row r="9" spans="2:12" ht="13.5" customHeight="1" x14ac:dyDescent="0.2">
      <c r="B9" s="1945"/>
      <c r="C9" s="1945"/>
      <c r="D9" s="1945"/>
    </row>
    <row r="10" spans="2:12" ht="13.5" customHeight="1" x14ac:dyDescent="0.2">
      <c r="B10" s="1942" t="s">
        <v>2101</v>
      </c>
      <c r="C10" s="1942"/>
    </row>
    <row r="11" spans="2:12" ht="66.75" customHeight="1" x14ac:dyDescent="0.2">
      <c r="B11" s="2703" t="s">
        <v>2102</v>
      </c>
      <c r="C11" s="2703"/>
      <c r="D11" s="2703"/>
      <c r="E11" s="2703"/>
    </row>
    <row r="12" spans="2:12" ht="13.5" customHeight="1" x14ac:dyDescent="0.2"/>
    <row r="13" spans="2:12" ht="13.5" customHeight="1" x14ac:dyDescent="0.2">
      <c r="B13" s="1942" t="s">
        <v>2103</v>
      </c>
      <c r="C13" s="1942"/>
    </row>
    <row r="14" spans="2:12" ht="76.5" customHeight="1" x14ac:dyDescent="0.2">
      <c r="B14" s="2703" t="s">
        <v>2223</v>
      </c>
      <c r="C14" s="2703"/>
      <c r="D14" s="2703"/>
      <c r="E14" s="2703"/>
    </row>
    <row r="15" spans="2:12" ht="13.5" customHeight="1" x14ac:dyDescent="0.2"/>
    <row r="16" spans="2:12" ht="13.5" customHeight="1" x14ac:dyDescent="0.2">
      <c r="B16" s="1942" t="s">
        <v>2104</v>
      </c>
      <c r="C16" s="1942"/>
      <c r="E16" s="1954" t="s">
        <v>2112</v>
      </c>
    </row>
    <row r="17" spans="2:5" ht="13.5" customHeight="1" x14ac:dyDescent="0.2"/>
    <row r="18" spans="2:5" ht="13.5" customHeight="1" x14ac:dyDescent="0.2">
      <c r="B18" s="1942" t="s">
        <v>2105</v>
      </c>
      <c r="C18" s="1942"/>
      <c r="E18" s="1946" t="s">
        <v>2108</v>
      </c>
    </row>
    <row r="19" spans="2:5" ht="13.5" customHeight="1" x14ac:dyDescent="0.2"/>
    <row r="20" spans="2:5" ht="13.5" customHeight="1" x14ac:dyDescent="0.2">
      <c r="B20" s="1942" t="s">
        <v>2106</v>
      </c>
      <c r="C20" s="1942"/>
      <c r="E20" s="1946" t="s">
        <v>2109</v>
      </c>
    </row>
    <row r="21" spans="2:5" ht="13.5" customHeight="1" x14ac:dyDescent="0.2">
      <c r="E21" s="1946" t="s">
        <v>2110</v>
      </c>
    </row>
    <row r="22" spans="2:5" ht="13.5" customHeight="1" x14ac:dyDescent="0.2">
      <c r="E22" s="1946" t="s">
        <v>2111</v>
      </c>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8"/>
      <c r="C35" s="1948"/>
      <c r="D35" s="1948"/>
    </row>
    <row r="36" spans="2:5" ht="13.5" customHeight="1" x14ac:dyDescent="0.2"/>
    <row r="37" spans="2:5" ht="13.5" customHeight="1" x14ac:dyDescent="0.2">
      <c r="B37" s="1948"/>
      <c r="C37" s="1948"/>
      <c r="D37" s="1948"/>
    </row>
    <row r="38" spans="2:5" ht="13.5" customHeight="1" x14ac:dyDescent="0.2">
      <c r="B38" s="1948"/>
      <c r="C38" s="1948"/>
      <c r="D38" s="1948"/>
    </row>
    <row r="39" spans="2:5" ht="13.5" customHeight="1" x14ac:dyDescent="0.2">
      <c r="B39" s="1948"/>
      <c r="C39" s="1948"/>
      <c r="D39" s="1948"/>
    </row>
    <row r="40" spans="2:5" ht="13.5" customHeight="1" x14ac:dyDescent="0.2">
      <c r="B40" s="1948"/>
      <c r="C40" s="1948"/>
      <c r="D40" s="1948"/>
    </row>
    <row r="41" spans="2:5" ht="13.5" customHeight="1" x14ac:dyDescent="0.2">
      <c r="B41" s="1949"/>
      <c r="C41" s="1949"/>
      <c r="D41" s="1949"/>
      <c r="E41" s="1949"/>
    </row>
    <row r="42" spans="2:5" ht="12.2" customHeight="1" x14ac:dyDescent="0.2">
      <c r="B42" s="1950" t="s">
        <v>2107</v>
      </c>
      <c r="C42" s="1950"/>
      <c r="D42" s="1950"/>
    </row>
    <row r="43" spans="2:5" ht="12.2" customHeight="1" x14ac:dyDescent="0.2">
      <c r="B43" s="1951"/>
      <c r="C43" s="1951"/>
      <c r="D43" s="1951"/>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2"/>
      <c r="C51" s="1952"/>
      <c r="D51" s="19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3"/>
      <c r="C64" s="1953"/>
      <c r="D64" s="1953"/>
    </row>
    <row r="65" spans="2:4" x14ac:dyDescent="0.2">
      <c r="B65" s="1942"/>
      <c r="C65" s="1942"/>
      <c r="D65" s="1942"/>
    </row>
    <row r="66" spans="2:4" x14ac:dyDescent="0.2">
      <c r="B66" s="1942"/>
      <c r="C66" s="1942"/>
      <c r="D66" s="1942"/>
    </row>
    <row r="67" spans="2:4" x14ac:dyDescent="0.2">
      <c r="B67" s="1953"/>
      <c r="C67" s="1953"/>
      <c r="D67" s="1953"/>
    </row>
    <row r="68" spans="2:4" x14ac:dyDescent="0.2">
      <c r="B68" s="1953"/>
      <c r="C68" s="1953"/>
      <c r="D68" s="1953"/>
    </row>
    <row r="69" spans="2:4" x14ac:dyDescent="0.2">
      <c r="B69" s="1953"/>
      <c r="C69" s="1953"/>
      <c r="D69" s="1953"/>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91" t="s">
        <v>386</v>
      </c>
      <c r="B1" s="2291"/>
      <c r="C1" s="2291"/>
      <c r="D1" s="2291"/>
      <c r="E1" s="2291"/>
      <c r="F1" s="2291"/>
      <c r="G1" s="2291"/>
      <c r="H1" s="2291"/>
      <c r="I1" s="2291"/>
      <c r="J1" s="2291"/>
      <c r="K1" s="2291"/>
      <c r="L1" s="2291"/>
      <c r="M1" s="22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301" t="str">
        <f>IF(SUM(J10)&lt;=0.0999999,"","Enter the Tax Rates by moving the decimal two places to the left.")</f>
        <v/>
      </c>
      <c r="E11" s="2302"/>
      <c r="F11" s="2302"/>
      <c r="G11" s="2302"/>
      <c r="H11" s="2302"/>
      <c r="I11" s="2302"/>
      <c r="J11" s="23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9975706</v>
      </c>
      <c r="E16" s="356"/>
      <c r="F16" s="1730">
        <f>SUM('Acct Summary 7-8'!C17,'Acct Summary 7-8'!D17,'Acct Summary 7-8'!F17)</f>
        <v>9091308</v>
      </c>
      <c r="G16" s="356"/>
      <c r="H16" s="1730">
        <f>SUM(D16-F16)</f>
        <v>884398</v>
      </c>
      <c r="I16" s="222"/>
      <c r="J16" s="1730">
        <f>SUM('Acct Summary 7-8'!C81,'Acct Summary 7-8'!D81,'Acct Summary 7-8'!F81,'Acct Summary 7-8'!I81)</f>
        <v>2461418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92"/>
      <c r="C54" s="2293"/>
      <c r="D54" s="2293"/>
      <c r="E54" s="2293"/>
      <c r="F54" s="2293"/>
      <c r="G54" s="2293"/>
      <c r="H54" s="2293"/>
      <c r="I54" s="2293"/>
      <c r="J54" s="2293"/>
      <c r="K54" s="2293"/>
      <c r="L54" s="2294"/>
      <c r="M54" s="380"/>
    </row>
    <row r="55" spans="1:13" ht="12.75" customHeight="1" x14ac:dyDescent="0.2">
      <c r="B55" s="2295"/>
      <c r="C55" s="2296"/>
      <c r="D55" s="2296"/>
      <c r="E55" s="2296"/>
      <c r="F55" s="2296"/>
      <c r="G55" s="2296"/>
      <c r="H55" s="2296"/>
      <c r="I55" s="2296"/>
      <c r="J55" s="2296"/>
      <c r="K55" s="2296"/>
      <c r="L55" s="2297"/>
      <c r="M55" s="380"/>
    </row>
    <row r="56" spans="1:13" ht="12.75" customHeight="1" x14ac:dyDescent="0.2">
      <c r="B56" s="2295"/>
      <c r="C56" s="2296"/>
      <c r="D56" s="2296"/>
      <c r="E56" s="2296"/>
      <c r="F56" s="2296"/>
      <c r="G56" s="2296"/>
      <c r="H56" s="2296"/>
      <c r="I56" s="2296"/>
      <c r="J56" s="2296"/>
      <c r="K56" s="2296"/>
      <c r="L56" s="2297"/>
      <c r="M56" s="222"/>
    </row>
    <row r="57" spans="1:13" ht="12.75" customHeight="1" x14ac:dyDescent="0.2">
      <c r="B57" s="2295"/>
      <c r="C57" s="2296"/>
      <c r="D57" s="2296"/>
      <c r="E57" s="2296"/>
      <c r="F57" s="2296"/>
      <c r="G57" s="2296"/>
      <c r="H57" s="2296"/>
      <c r="I57" s="2296"/>
      <c r="J57" s="2296"/>
      <c r="K57" s="2296"/>
      <c r="L57" s="2297"/>
      <c r="M57" s="222"/>
    </row>
    <row r="58" spans="1:13" x14ac:dyDescent="0.2">
      <c r="B58" s="2298"/>
      <c r="C58" s="2299"/>
      <c r="D58" s="2299"/>
      <c r="E58" s="2299"/>
      <c r="F58" s="2299"/>
      <c r="G58" s="2299"/>
      <c r="H58" s="2299"/>
      <c r="I58" s="2299"/>
      <c r="J58" s="2299"/>
      <c r="K58" s="2299"/>
      <c r="L58" s="23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03"/>
      <c r="D61" s="23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704" t="str">
        <f>SSPAF!B1</f>
        <v>West Central IL Spec Educ Coop</v>
      </c>
      <c r="C1" s="2704"/>
      <c r="D1" s="2704"/>
      <c r="E1" s="2704"/>
      <c r="F1" s="1933"/>
      <c r="G1" s="1933"/>
      <c r="H1" s="1933"/>
      <c r="I1" s="1933"/>
      <c r="J1" s="1933"/>
      <c r="K1" s="1933"/>
      <c r="L1" s="1933"/>
    </row>
    <row r="2" spans="2:12" ht="13.5" customHeight="1" x14ac:dyDescent="0.2">
      <c r="B2" s="2705">
        <f>SSPAF!B2</f>
        <v>26062000061</v>
      </c>
      <c r="C2" s="2705"/>
      <c r="D2" s="2705"/>
      <c r="E2" s="2705"/>
      <c r="F2" s="1935"/>
      <c r="G2" s="1935"/>
      <c r="H2" s="1935"/>
      <c r="I2" s="1935"/>
      <c r="J2" s="1935"/>
      <c r="K2" s="1935"/>
      <c r="L2" s="1935"/>
    </row>
    <row r="3" spans="2:12" ht="13.5" customHeight="1" x14ac:dyDescent="0.2">
      <c r="B3" s="2706" t="s">
        <v>2098</v>
      </c>
      <c r="C3" s="2706"/>
      <c r="D3" s="2706"/>
      <c r="E3" s="2706"/>
      <c r="F3" s="1936"/>
      <c r="G3" s="1936"/>
      <c r="H3" s="1936"/>
      <c r="I3" s="1936"/>
      <c r="J3" s="1936"/>
      <c r="K3" s="1936"/>
      <c r="L3" s="1936"/>
    </row>
    <row r="4" spans="2:12" ht="13.5" customHeight="1" x14ac:dyDescent="0.2">
      <c r="B4" s="2707" t="s">
        <v>1986</v>
      </c>
      <c r="C4" s="2707"/>
      <c r="D4" s="2707"/>
      <c r="E4" s="2707"/>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1988</v>
      </c>
      <c r="D8" s="1944">
        <v>2</v>
      </c>
    </row>
    <row r="9" spans="2:12" ht="13.5" customHeight="1" x14ac:dyDescent="0.2">
      <c r="B9" s="1945"/>
      <c r="C9" s="1945"/>
      <c r="D9" s="1945"/>
    </row>
    <row r="10" spans="2:12" ht="13.5" customHeight="1" x14ac:dyDescent="0.2">
      <c r="B10" s="1942" t="s">
        <v>2101</v>
      </c>
      <c r="C10" s="1942"/>
    </row>
    <row r="11" spans="2:12" ht="66.75" customHeight="1" x14ac:dyDescent="0.2">
      <c r="B11" s="2703" t="str">
        <f>'Finding 2019-002'!B17:K17</f>
        <v>The management of a joint agreement has a legal obligation to the State Board of Education of Illinois to file their annual budget by September 1.</v>
      </c>
      <c r="C11" s="2703"/>
      <c r="D11" s="2703"/>
      <c r="E11" s="2703"/>
    </row>
    <row r="12" spans="2:12" ht="13.5" customHeight="1" x14ac:dyDescent="0.2"/>
    <row r="13" spans="2:12" ht="13.5" customHeight="1" x14ac:dyDescent="0.2">
      <c r="B13" s="1942" t="s">
        <v>2103</v>
      </c>
      <c r="C13" s="1942"/>
    </row>
    <row r="14" spans="2:12" ht="76.5" customHeight="1" x14ac:dyDescent="0.2">
      <c r="B14" s="2703" t="s">
        <v>2246</v>
      </c>
      <c r="C14" s="2703"/>
      <c r="D14" s="2703"/>
      <c r="E14" s="2703"/>
    </row>
    <row r="15" spans="2:12" ht="13.5" customHeight="1" x14ac:dyDescent="0.2"/>
    <row r="16" spans="2:12" ht="13.5" customHeight="1" x14ac:dyDescent="0.2">
      <c r="B16" s="1942" t="s">
        <v>2104</v>
      </c>
      <c r="C16" s="1942"/>
      <c r="E16" s="1954" t="s">
        <v>2247</v>
      </c>
    </row>
    <row r="17" spans="2:5" ht="13.5" customHeight="1" x14ac:dyDescent="0.2"/>
    <row r="18" spans="2:5" ht="13.5" customHeight="1" x14ac:dyDescent="0.2">
      <c r="B18" s="1942" t="s">
        <v>2105</v>
      </c>
      <c r="C18" s="1942"/>
      <c r="E18" s="1946" t="s">
        <v>2108</v>
      </c>
    </row>
    <row r="19" spans="2:5" ht="13.5" customHeight="1" x14ac:dyDescent="0.2"/>
    <row r="20" spans="2:5" ht="13.5" customHeight="1" x14ac:dyDescent="0.2">
      <c r="B20" s="1942" t="s">
        <v>2106</v>
      </c>
      <c r="C20" s="1942"/>
      <c r="E20" s="2143" t="s">
        <v>2244</v>
      </c>
    </row>
    <row r="21" spans="2:5" ht="13.5" customHeight="1" x14ac:dyDescent="0.2">
      <c r="E21" s="2143" t="s">
        <v>2245</v>
      </c>
    </row>
    <row r="22" spans="2:5" ht="13.5" customHeight="1" x14ac:dyDescent="0.2">
      <c r="E22" s="1946"/>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8"/>
      <c r="C35" s="1948"/>
      <c r="D35" s="1948"/>
    </row>
    <row r="36" spans="2:5" ht="13.5" customHeight="1" x14ac:dyDescent="0.2"/>
    <row r="37" spans="2:5" ht="13.5" customHeight="1" x14ac:dyDescent="0.2">
      <c r="B37" s="1948"/>
      <c r="C37" s="1948"/>
      <c r="D37" s="1948"/>
    </row>
    <row r="38" spans="2:5" ht="13.5" customHeight="1" x14ac:dyDescent="0.2">
      <c r="B38" s="1948"/>
      <c r="C38" s="1948"/>
      <c r="D38" s="1948"/>
    </row>
    <row r="39" spans="2:5" ht="13.5" customHeight="1" x14ac:dyDescent="0.2">
      <c r="B39" s="1948"/>
      <c r="C39" s="1948"/>
      <c r="D39" s="1948"/>
    </row>
    <row r="40" spans="2:5" ht="13.5" customHeight="1" x14ac:dyDescent="0.2">
      <c r="B40" s="1948"/>
      <c r="C40" s="1948"/>
      <c r="D40" s="1948"/>
    </row>
    <row r="41" spans="2:5" ht="13.5" customHeight="1" x14ac:dyDescent="0.2">
      <c r="B41" s="1949"/>
      <c r="C41" s="1949"/>
      <c r="D41" s="1949"/>
      <c r="E41" s="1949"/>
    </row>
    <row r="42" spans="2:5" ht="12.2" customHeight="1" x14ac:dyDescent="0.2">
      <c r="B42" s="1950" t="s">
        <v>2107</v>
      </c>
      <c r="C42" s="1950"/>
      <c r="D42" s="1950"/>
    </row>
    <row r="43" spans="2:5" ht="12.2" customHeight="1" x14ac:dyDescent="0.2">
      <c r="B43" s="1951"/>
      <c r="C43" s="1951"/>
      <c r="D43" s="1951"/>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2"/>
      <c r="C51" s="1952"/>
      <c r="D51" s="19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3"/>
      <c r="C64" s="1953"/>
      <c r="D64" s="1953"/>
    </row>
    <row r="65" spans="2:4" x14ac:dyDescent="0.2">
      <c r="B65" s="1942"/>
      <c r="C65" s="1942"/>
      <c r="D65" s="1942"/>
    </row>
    <row r="66" spans="2:4" x14ac:dyDescent="0.2">
      <c r="B66" s="1942"/>
      <c r="C66" s="1942"/>
      <c r="D66" s="1942"/>
    </row>
    <row r="67" spans="2:4" x14ac:dyDescent="0.2">
      <c r="B67" s="1953"/>
      <c r="C67" s="1953"/>
      <c r="D67" s="1953"/>
    </row>
    <row r="68" spans="2:4" x14ac:dyDescent="0.2">
      <c r="B68" s="1953"/>
      <c r="C68" s="1953"/>
      <c r="D68" s="1953"/>
    </row>
    <row r="69" spans="2:4" x14ac:dyDescent="0.2">
      <c r="B69" s="1953"/>
      <c r="C69" s="1953"/>
      <c r="D69" s="1953"/>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704" t="str">
        <f>SSPAF!B1</f>
        <v>West Central IL Spec Educ Coop</v>
      </c>
      <c r="C1" s="2704"/>
      <c r="D1" s="2704"/>
      <c r="E1" s="2704"/>
      <c r="F1" s="1933"/>
      <c r="G1" s="1933"/>
      <c r="H1" s="1933"/>
      <c r="I1" s="1933"/>
      <c r="J1" s="1933"/>
      <c r="K1" s="1933"/>
      <c r="L1" s="1933"/>
    </row>
    <row r="2" spans="2:12" ht="13.5" customHeight="1" x14ac:dyDescent="0.2">
      <c r="B2" s="2705">
        <f>SSPAF!B2</f>
        <v>26062000061</v>
      </c>
      <c r="C2" s="2705"/>
      <c r="D2" s="2705"/>
      <c r="E2" s="2705"/>
      <c r="F2" s="1935"/>
      <c r="G2" s="1935"/>
      <c r="H2" s="1935"/>
      <c r="I2" s="1935"/>
      <c r="J2" s="1935"/>
      <c r="K2" s="1935"/>
      <c r="L2" s="1935"/>
    </row>
    <row r="3" spans="2:12" ht="13.5" customHeight="1" x14ac:dyDescent="0.2">
      <c r="B3" s="2706" t="s">
        <v>2098</v>
      </c>
      <c r="C3" s="2706"/>
      <c r="D3" s="2706"/>
      <c r="E3" s="2706"/>
      <c r="F3" s="1936"/>
      <c r="G3" s="1936"/>
      <c r="H3" s="1936"/>
      <c r="I3" s="1936"/>
      <c r="J3" s="1936"/>
      <c r="K3" s="1936"/>
      <c r="L3" s="1936"/>
    </row>
    <row r="4" spans="2:12" ht="13.5" customHeight="1" x14ac:dyDescent="0.2">
      <c r="B4" s="2707" t="s">
        <v>1986</v>
      </c>
      <c r="C4" s="2707"/>
      <c r="D4" s="2707"/>
      <c r="E4" s="2707"/>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1988</v>
      </c>
      <c r="D8" s="1944">
        <v>3</v>
      </c>
    </row>
    <row r="9" spans="2:12" ht="13.5" customHeight="1" x14ac:dyDescent="0.2">
      <c r="B9" s="1945"/>
      <c r="C9" s="1945"/>
      <c r="D9" s="1945"/>
    </row>
    <row r="10" spans="2:12" ht="13.5" customHeight="1" x14ac:dyDescent="0.2">
      <c r="B10" s="1942" t="s">
        <v>2101</v>
      </c>
      <c r="C10" s="1942"/>
    </row>
    <row r="11" spans="2:12" ht="51.75" customHeight="1" x14ac:dyDescent="0.2">
      <c r="B11" s="2703" t="s">
        <v>2117</v>
      </c>
      <c r="C11" s="2703"/>
      <c r="D11" s="2703"/>
      <c r="E11" s="2703"/>
    </row>
    <row r="12" spans="2:12" ht="13.5" customHeight="1" x14ac:dyDescent="0.2"/>
    <row r="13" spans="2:12" ht="13.5" customHeight="1" x14ac:dyDescent="0.2">
      <c r="B13" s="1942" t="s">
        <v>2103</v>
      </c>
      <c r="C13" s="1942"/>
    </row>
    <row r="14" spans="2:12" ht="60" customHeight="1" x14ac:dyDescent="0.2">
      <c r="B14" s="2703" t="s">
        <v>2128</v>
      </c>
      <c r="C14" s="2703"/>
      <c r="D14" s="2703"/>
      <c r="E14" s="2703"/>
    </row>
    <row r="15" spans="2:12" ht="13.5" customHeight="1" x14ac:dyDescent="0.2"/>
    <row r="16" spans="2:12" ht="13.5" customHeight="1" x14ac:dyDescent="0.2">
      <c r="B16" s="1942" t="s">
        <v>2104</v>
      </c>
      <c r="C16" s="1942"/>
      <c r="E16" s="1954" t="s">
        <v>2112</v>
      </c>
    </row>
    <row r="17" spans="2:5" ht="13.5" customHeight="1" x14ac:dyDescent="0.2"/>
    <row r="18" spans="2:5" ht="13.5" customHeight="1" x14ac:dyDescent="0.2">
      <c r="B18" s="1942" t="s">
        <v>2105</v>
      </c>
      <c r="C18" s="1942"/>
      <c r="E18" s="1946" t="s">
        <v>2108</v>
      </c>
    </row>
    <row r="19" spans="2:5" ht="13.5" customHeight="1" x14ac:dyDescent="0.2"/>
    <row r="20" spans="2:5" ht="13.5" customHeight="1" x14ac:dyDescent="0.2">
      <c r="B20" s="1942" t="s">
        <v>2106</v>
      </c>
      <c r="C20" s="1942"/>
      <c r="E20" s="1946" t="s">
        <v>2130</v>
      </c>
    </row>
    <row r="21" spans="2:5" ht="13.5" customHeight="1" x14ac:dyDescent="0.2">
      <c r="E21" s="1946" t="s">
        <v>2129</v>
      </c>
    </row>
    <row r="22" spans="2:5" ht="13.5" customHeight="1" x14ac:dyDescent="0.2">
      <c r="E22" s="1946"/>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8"/>
      <c r="C35" s="1948"/>
      <c r="D35" s="1948"/>
    </row>
    <row r="36" spans="2:5" ht="13.5" customHeight="1" x14ac:dyDescent="0.2"/>
    <row r="37" spans="2:5" ht="13.5" customHeight="1" x14ac:dyDescent="0.2">
      <c r="B37" s="1948"/>
      <c r="C37" s="1948"/>
      <c r="D37" s="1948"/>
    </row>
    <row r="38" spans="2:5" ht="13.5" customHeight="1" x14ac:dyDescent="0.2">
      <c r="B38" s="1948"/>
      <c r="C38" s="1948"/>
      <c r="D38" s="1948"/>
    </row>
    <row r="39" spans="2:5" ht="13.5" customHeight="1" x14ac:dyDescent="0.2">
      <c r="B39" s="1948"/>
      <c r="C39" s="1948"/>
      <c r="D39" s="1948"/>
    </row>
    <row r="40" spans="2:5" ht="13.5" customHeight="1" x14ac:dyDescent="0.2">
      <c r="B40" s="1948"/>
      <c r="C40" s="1948"/>
      <c r="D40" s="1948"/>
    </row>
    <row r="41" spans="2:5" ht="13.5" customHeight="1" x14ac:dyDescent="0.2">
      <c r="B41" s="1949"/>
      <c r="C41" s="1949"/>
      <c r="D41" s="1949"/>
      <c r="E41" s="1949"/>
    </row>
    <row r="42" spans="2:5" ht="12.2" customHeight="1" x14ac:dyDescent="0.2">
      <c r="B42" s="1950" t="s">
        <v>2107</v>
      </c>
      <c r="C42" s="1950"/>
      <c r="D42" s="1950"/>
    </row>
    <row r="43" spans="2:5" ht="12.2" customHeight="1" x14ac:dyDescent="0.2">
      <c r="B43" s="1951"/>
      <c r="C43" s="1951"/>
      <c r="D43" s="1951"/>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2"/>
      <c r="C51" s="1952"/>
      <c r="D51" s="19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3"/>
      <c r="C64" s="1953"/>
      <c r="D64" s="1953"/>
    </row>
    <row r="65" spans="2:4" x14ac:dyDescent="0.2">
      <c r="B65" s="1942"/>
      <c r="C65" s="1942"/>
      <c r="D65" s="1942"/>
    </row>
    <row r="66" spans="2:4" x14ac:dyDescent="0.2">
      <c r="B66" s="1942"/>
      <c r="C66" s="1942"/>
      <c r="D66" s="1942"/>
    </row>
    <row r="67" spans="2:4" x14ac:dyDescent="0.2">
      <c r="B67" s="1953"/>
      <c r="C67" s="1953"/>
      <c r="D67" s="1953"/>
    </row>
    <row r="68" spans="2:4" x14ac:dyDescent="0.2">
      <c r="B68" s="1953"/>
      <c r="C68" s="1953"/>
      <c r="D68" s="1953"/>
    </row>
    <row r="69" spans="2:4" x14ac:dyDescent="0.2">
      <c r="B69" s="1953"/>
      <c r="C69" s="1953"/>
      <c r="D69" s="1953"/>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704" t="str">
        <f>SSPAF!B1</f>
        <v>West Central IL Spec Educ Coop</v>
      </c>
      <c r="C1" s="2704"/>
      <c r="D1" s="2704"/>
      <c r="E1" s="2704"/>
      <c r="F1" s="1933"/>
      <c r="G1" s="1933"/>
      <c r="H1" s="1933"/>
      <c r="I1" s="1933"/>
      <c r="J1" s="1933"/>
      <c r="K1" s="1933"/>
      <c r="L1" s="1933"/>
    </row>
    <row r="2" spans="2:12" ht="13.5" customHeight="1" x14ac:dyDescent="0.2">
      <c r="B2" s="2705">
        <f>SSPAF!B2</f>
        <v>26062000061</v>
      </c>
      <c r="C2" s="2705"/>
      <c r="D2" s="2705"/>
      <c r="E2" s="2705"/>
      <c r="F2" s="1935"/>
      <c r="G2" s="1935"/>
      <c r="H2" s="1935"/>
      <c r="I2" s="1935"/>
      <c r="J2" s="1935"/>
      <c r="K2" s="1935"/>
      <c r="L2" s="1935"/>
    </row>
    <row r="3" spans="2:12" ht="13.5" customHeight="1" x14ac:dyDescent="0.2">
      <c r="B3" s="2706" t="s">
        <v>2098</v>
      </c>
      <c r="C3" s="2706"/>
      <c r="D3" s="2706"/>
      <c r="E3" s="2706"/>
      <c r="F3" s="1936"/>
      <c r="G3" s="1936"/>
      <c r="H3" s="1936"/>
      <c r="I3" s="1936"/>
      <c r="J3" s="1936"/>
      <c r="K3" s="1936"/>
      <c r="L3" s="1936"/>
    </row>
    <row r="4" spans="2:12" ht="13.5" customHeight="1" x14ac:dyDescent="0.2">
      <c r="B4" s="2707" t="s">
        <v>1986</v>
      </c>
      <c r="C4" s="2707"/>
      <c r="D4" s="2707"/>
      <c r="E4" s="2707"/>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1988</v>
      </c>
      <c r="D8" s="1944">
        <v>4</v>
      </c>
    </row>
    <row r="9" spans="2:12" ht="13.5" customHeight="1" x14ac:dyDescent="0.2">
      <c r="B9" s="1945"/>
      <c r="C9" s="1945"/>
      <c r="D9" s="1945"/>
    </row>
    <row r="10" spans="2:12" ht="13.5" customHeight="1" x14ac:dyDescent="0.2">
      <c r="B10" s="1942" t="s">
        <v>2101</v>
      </c>
      <c r="C10" s="1942"/>
    </row>
    <row r="11" spans="2:12" ht="66.75" customHeight="1" x14ac:dyDescent="0.2">
      <c r="B11" s="2703" t="s">
        <v>2233</v>
      </c>
      <c r="C11" s="2703"/>
      <c r="D11" s="2703"/>
      <c r="E11" s="2703"/>
    </row>
    <row r="12" spans="2:12" ht="13.5" customHeight="1" x14ac:dyDescent="0.2"/>
    <row r="13" spans="2:12" ht="13.5" customHeight="1" x14ac:dyDescent="0.2">
      <c r="B13" s="1942" t="s">
        <v>2103</v>
      </c>
      <c r="C13" s="1942"/>
    </row>
    <row r="14" spans="2:12" ht="76.5" customHeight="1" x14ac:dyDescent="0.2">
      <c r="B14" s="2703" t="s">
        <v>2232</v>
      </c>
      <c r="C14" s="2703"/>
      <c r="D14" s="2703"/>
      <c r="E14" s="2703"/>
    </row>
    <row r="15" spans="2:12" ht="13.5" customHeight="1" x14ac:dyDescent="0.2"/>
    <row r="16" spans="2:12" ht="13.5" customHeight="1" x14ac:dyDescent="0.2">
      <c r="B16" s="1942" t="s">
        <v>2104</v>
      </c>
      <c r="C16" s="1942"/>
      <c r="E16" s="1954" t="s">
        <v>2112</v>
      </c>
    </row>
    <row r="17" spans="2:5" ht="13.5" customHeight="1" x14ac:dyDescent="0.2"/>
    <row r="18" spans="2:5" ht="13.5" customHeight="1" x14ac:dyDescent="0.2">
      <c r="B18" s="1942" t="s">
        <v>2105</v>
      </c>
      <c r="C18" s="1942"/>
      <c r="E18" s="1946" t="s">
        <v>2108</v>
      </c>
    </row>
    <row r="19" spans="2:5" ht="13.5" customHeight="1" x14ac:dyDescent="0.2"/>
    <row r="20" spans="2:5" ht="13.5" customHeight="1" x14ac:dyDescent="0.2">
      <c r="B20" s="1942" t="s">
        <v>2106</v>
      </c>
      <c r="C20" s="1942"/>
      <c r="E20" s="1946" t="s">
        <v>2231</v>
      </c>
    </row>
    <row r="21" spans="2:5" ht="13.5" customHeight="1" x14ac:dyDescent="0.2">
      <c r="E21" s="1946"/>
    </row>
    <row r="22" spans="2:5" ht="13.5" customHeight="1" x14ac:dyDescent="0.2">
      <c r="E22" s="1946"/>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8"/>
      <c r="C35" s="1948"/>
      <c r="D35" s="1948"/>
    </row>
    <row r="36" spans="2:5" ht="13.5" customHeight="1" x14ac:dyDescent="0.2"/>
    <row r="37" spans="2:5" ht="13.5" customHeight="1" x14ac:dyDescent="0.2">
      <c r="B37" s="1948"/>
      <c r="C37" s="1948"/>
      <c r="D37" s="1948"/>
    </row>
    <row r="38" spans="2:5" ht="13.5" customHeight="1" x14ac:dyDescent="0.2">
      <c r="B38" s="1948"/>
      <c r="C38" s="1948"/>
      <c r="D38" s="1948"/>
    </row>
    <row r="39" spans="2:5" ht="13.5" customHeight="1" x14ac:dyDescent="0.2">
      <c r="B39" s="1948"/>
      <c r="C39" s="1948"/>
      <c r="D39" s="1948"/>
    </row>
    <row r="40" spans="2:5" ht="13.5" customHeight="1" x14ac:dyDescent="0.2">
      <c r="B40" s="1948"/>
      <c r="C40" s="1948"/>
      <c r="D40" s="1948"/>
    </row>
    <row r="41" spans="2:5" ht="13.5" customHeight="1" x14ac:dyDescent="0.2">
      <c r="B41" s="1949"/>
      <c r="C41" s="1949"/>
      <c r="D41" s="1949"/>
      <c r="E41" s="1949"/>
    </row>
    <row r="42" spans="2:5" ht="12.2" customHeight="1" x14ac:dyDescent="0.2">
      <c r="B42" s="1950" t="s">
        <v>2107</v>
      </c>
      <c r="C42" s="1950"/>
      <c r="D42" s="1950"/>
    </row>
    <row r="43" spans="2:5" ht="12.2" customHeight="1" x14ac:dyDescent="0.2">
      <c r="B43" s="1951"/>
      <c r="C43" s="1951"/>
      <c r="D43" s="1951"/>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2"/>
      <c r="C51" s="1952"/>
      <c r="D51" s="19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3"/>
      <c r="C64" s="1953"/>
      <c r="D64" s="1953"/>
    </row>
    <row r="65" spans="2:4" x14ac:dyDescent="0.2">
      <c r="B65" s="1942"/>
      <c r="C65" s="1942"/>
      <c r="D65" s="1942"/>
    </row>
    <row r="66" spans="2:4" x14ac:dyDescent="0.2">
      <c r="B66" s="1942"/>
      <c r="C66" s="1942"/>
      <c r="D66" s="1942"/>
    </row>
    <row r="67" spans="2:4" x14ac:dyDescent="0.2">
      <c r="B67" s="1953"/>
      <c r="C67" s="1953"/>
      <c r="D67" s="1953"/>
    </row>
    <row r="68" spans="2:4" x14ac:dyDescent="0.2">
      <c r="B68" s="1953"/>
      <c r="C68" s="1953"/>
      <c r="D68" s="1953"/>
    </row>
    <row r="69" spans="2:4" x14ac:dyDescent="0.2">
      <c r="B69" s="1953"/>
      <c r="C69" s="1953"/>
      <c r="D69" s="1953"/>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06"/>
      <c r="B1" s="2307"/>
      <c r="C1" s="2307"/>
      <c r="D1" s="384"/>
      <c r="E1" s="384"/>
      <c r="F1" s="384"/>
      <c r="G1" s="384"/>
      <c r="H1" s="384"/>
      <c r="I1" s="384"/>
      <c r="J1" s="384"/>
      <c r="K1" s="384"/>
      <c r="L1" s="384"/>
      <c r="M1" s="384"/>
      <c r="N1" s="384"/>
      <c r="O1" s="2306"/>
      <c r="P1" s="2307"/>
      <c r="Q1" s="2307"/>
    </row>
    <row r="2" spans="1:18" ht="15" x14ac:dyDescent="0.2">
      <c r="A2" s="2310" t="s">
        <v>556</v>
      </c>
      <c r="B2" s="2310"/>
      <c r="C2" s="2310"/>
      <c r="D2" s="2310"/>
      <c r="E2" s="2310"/>
      <c r="F2" s="2310"/>
      <c r="G2" s="2310"/>
      <c r="H2" s="2310"/>
      <c r="I2" s="2310"/>
      <c r="J2" s="2310"/>
      <c r="K2" s="2310"/>
      <c r="L2" s="2310"/>
      <c r="M2" s="2310"/>
      <c r="N2" s="2310"/>
      <c r="O2" s="2310"/>
      <c r="P2" s="2310"/>
      <c r="Q2" s="2310"/>
      <c r="R2" s="2310"/>
    </row>
    <row r="3" spans="1:18" ht="12.75" x14ac:dyDescent="0.2">
      <c r="A3" s="2311" t="s">
        <v>1413</v>
      </c>
      <c r="B3" s="2311"/>
      <c r="C3" s="2311"/>
      <c r="D3" s="2311"/>
      <c r="E3" s="2311"/>
      <c r="F3" s="2311"/>
      <c r="G3" s="2311"/>
      <c r="H3" s="2311"/>
      <c r="I3" s="2311"/>
      <c r="J3" s="2311"/>
      <c r="K3" s="2311"/>
      <c r="L3" s="2311"/>
      <c r="M3" s="2311"/>
      <c r="N3" s="2311"/>
      <c r="O3" s="2311"/>
      <c r="P3" s="2311"/>
      <c r="Q3" s="2311"/>
      <c r="R3" s="2311"/>
    </row>
    <row r="4" spans="1:18" x14ac:dyDescent="0.2">
      <c r="A4" s="2312" t="s">
        <v>1554</v>
      </c>
      <c r="B4" s="2312"/>
      <c r="C4" s="2312"/>
      <c r="D4" s="2312"/>
      <c r="E4" s="2312"/>
      <c r="F4" s="2312"/>
      <c r="G4" s="2312"/>
      <c r="H4" s="2312"/>
      <c r="I4" s="2312"/>
      <c r="J4" s="2312"/>
      <c r="K4" s="2312"/>
      <c r="L4" s="2312"/>
      <c r="M4" s="2312"/>
      <c r="N4" s="2312"/>
      <c r="O4" s="2312"/>
      <c r="P4" s="2312"/>
      <c r="Q4" s="2312"/>
      <c r="R4" s="23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 Central IL Spec Educ Coop</v>
      </c>
      <c r="E7" s="391"/>
      <c r="G7" s="252"/>
      <c r="H7" s="387"/>
      <c r="I7" s="387"/>
      <c r="J7" s="387"/>
      <c r="K7" s="387"/>
      <c r="L7" s="329"/>
      <c r="M7" s="329"/>
      <c r="N7" s="329"/>
      <c r="O7" s="329"/>
      <c r="P7" s="329"/>
    </row>
    <row r="8" spans="1:18" ht="12.75" x14ac:dyDescent="0.2">
      <c r="A8" s="329"/>
      <c r="B8" s="329"/>
      <c r="C8" s="389" t="s">
        <v>1125</v>
      </c>
      <c r="D8" s="392">
        <f>COVER!A13</f>
        <v>26062000061</v>
      </c>
      <c r="E8" s="393"/>
      <c r="G8" s="329"/>
      <c r="H8" s="329"/>
      <c r="I8" s="329"/>
      <c r="J8" s="329"/>
      <c r="K8" s="329"/>
      <c r="L8" s="329"/>
      <c r="M8" s="329"/>
      <c r="N8" s="329"/>
      <c r="O8" s="329"/>
      <c r="P8" s="329"/>
    </row>
    <row r="9" spans="1:18" ht="12.75" x14ac:dyDescent="0.2">
      <c r="A9" s="329"/>
      <c r="B9" s="329"/>
      <c r="C9" s="389" t="s">
        <v>713</v>
      </c>
      <c r="D9" s="394" t="str">
        <f>COVER!A15</f>
        <v>McDonough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2461418</v>
      </c>
      <c r="I12" s="404"/>
      <c r="J12" s="404"/>
      <c r="K12" s="405">
        <f>TRUNC((H12/H13*100000),5)/100000</f>
        <v>0.24674123309999998</v>
      </c>
      <c r="L12" s="406"/>
      <c r="M12" s="360" t="s">
        <v>1144</v>
      </c>
      <c r="N12" s="360"/>
      <c r="O12" s="407">
        <v>0.35</v>
      </c>
      <c r="P12" s="218"/>
      <c r="Q12" s="218"/>
    </row>
    <row r="13" spans="1:18" s="408" customFormat="1" ht="12.75" x14ac:dyDescent="0.2">
      <c r="A13" s="218"/>
      <c r="B13" s="401"/>
      <c r="C13" s="2308" t="s">
        <v>1324</v>
      </c>
      <c r="D13" s="2309"/>
      <c r="E13" s="218"/>
      <c r="F13" s="409" t="s">
        <v>793</v>
      </c>
      <c r="G13" s="402"/>
      <c r="H13" s="403">
        <f>SUM('Acct Summary 7-8'!C8+'Acct Summary 7-8'!D8+'Acct Summary 7-8'!F8+'Acct Summary 7-8'!I8)+H14</f>
        <v>9975706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9091308</v>
      </c>
      <c r="I17" s="404"/>
      <c r="J17" s="416"/>
      <c r="K17" s="405">
        <f>TRUNC((H17/H18*100000),5)/100000</f>
        <v>0.91134482109999992</v>
      </c>
      <c r="L17" s="406"/>
      <c r="M17" s="417" t="s">
        <v>1171</v>
      </c>
      <c r="O17" s="418" t="str">
        <f>IF(AND(O16="2", J20 &gt; 2),"1",IF(AND(O16 = "1", J20 &gt; 2),"2",IF(AND(O16="1", J20 &gt;1),"1","0")))</f>
        <v>0</v>
      </c>
      <c r="P17" s="218"/>
    </row>
    <row r="18" spans="1:18" s="408" customFormat="1" ht="11.25" x14ac:dyDescent="0.2">
      <c r="A18" s="218"/>
      <c r="B18" s="401"/>
      <c r="C18" s="2308" t="s">
        <v>1317</v>
      </c>
      <c r="D18" s="2309"/>
      <c r="E18" s="218"/>
      <c r="F18" s="419" t="s">
        <v>794</v>
      </c>
      <c r="G18" s="402"/>
      <c r="H18" s="403">
        <f>SUM('Acct Summary 7-8'!C8+'Acct Summary 7-8'!D8+'Acct Summary 7-8'!F8+'Acct Summary 7-8'!I8)+H19</f>
        <v>9975706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305" t="s">
        <v>1412</v>
      </c>
      <c r="D24" s="2305"/>
      <c r="E24" s="218"/>
      <c r="F24" s="218" t="s">
        <v>445</v>
      </c>
      <c r="G24" s="402"/>
      <c r="H24" s="403">
        <f>SUM('Assets-Liab 5-6'!C4+'Assets-Liab 5-6'!D4+'Assets-Liab 5-6'!F4+'Assets-Liab 5-6'!I4+'Assets-Liab 5-6'!C5+'Assets-Liab 5-6'!D5+'Assets-Liab 5-6'!F5+'Assets-Liab 5-6'!I5)</f>
        <v>2448096</v>
      </c>
      <c r="I24" s="422"/>
      <c r="J24" s="422"/>
      <c r="K24" s="423">
        <f>TRUNC(((H24/H25*100000)/100000),2)</f>
        <v>96.94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25253.633330000001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38" sqref="A38:F3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3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3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315" t="s">
        <v>973</v>
      </c>
      <c r="B3" s="2316"/>
      <c r="C3" s="1556"/>
      <c r="D3" s="1557"/>
      <c r="E3" s="1557"/>
      <c r="F3" s="1557"/>
      <c r="G3" s="1557"/>
      <c r="H3" s="1557"/>
      <c r="I3" s="1557"/>
      <c r="J3" s="1557"/>
      <c r="K3" s="1557"/>
      <c r="L3" s="1557"/>
      <c r="M3" s="1558"/>
      <c r="N3" s="1559"/>
    </row>
    <row r="4" spans="1:14" ht="13.5" customHeight="1" x14ac:dyDescent="0.2">
      <c r="A4" s="463" t="s">
        <v>1651</v>
      </c>
      <c r="B4" s="464"/>
      <c r="C4" s="465">
        <v>2448096</v>
      </c>
      <c r="D4" s="465">
        <v>0</v>
      </c>
      <c r="E4" s="465">
        <v>0</v>
      </c>
      <c r="F4" s="465">
        <v>0</v>
      </c>
      <c r="G4" s="465">
        <v>0</v>
      </c>
      <c r="H4" s="465">
        <v>0</v>
      </c>
      <c r="I4" s="465">
        <v>0</v>
      </c>
      <c r="J4" s="465">
        <v>0</v>
      </c>
      <c r="K4" s="465">
        <v>0</v>
      </c>
      <c r="L4" s="465">
        <v>35174</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16968</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6250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2471314</v>
      </c>
      <c r="D13" s="1734">
        <f t="shared" ref="D13:L13" si="0">SUM(D4:D12)</f>
        <v>0</v>
      </c>
      <c r="E13" s="1734">
        <f t="shared" si="0"/>
        <v>0</v>
      </c>
      <c r="F13" s="1734">
        <f t="shared" si="0"/>
        <v>0</v>
      </c>
      <c r="G13" s="1734">
        <f t="shared" si="0"/>
        <v>0</v>
      </c>
      <c r="H13" s="1734">
        <f t="shared" si="0"/>
        <v>0</v>
      </c>
      <c r="I13" s="1734">
        <f t="shared" si="0"/>
        <v>0</v>
      </c>
      <c r="J13" s="1734">
        <f t="shared" si="0"/>
        <v>0</v>
      </c>
      <c r="K13" s="1734">
        <f t="shared" si="0"/>
        <v>0</v>
      </c>
      <c r="L13" s="1734">
        <f t="shared" si="0"/>
        <v>35174</v>
      </c>
      <c r="M13" s="468"/>
      <c r="N13" s="469"/>
    </row>
    <row r="14" spans="1:14" ht="18" customHeight="1" thickTop="1" x14ac:dyDescent="0.2">
      <c r="A14" s="2317" t="s">
        <v>147</v>
      </c>
      <c r="B14" s="231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0</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212619</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212619</v>
      </c>
      <c r="N23" s="1685">
        <f>SUM(N21:N22)</f>
        <v>0</v>
      </c>
    </row>
    <row r="24" spans="1:14" ht="18" customHeight="1" thickTop="1" x14ac:dyDescent="0.2">
      <c r="A24" s="2319" t="s">
        <v>598</v>
      </c>
      <c r="B24" s="232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9896</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15292</v>
      </c>
      <c r="M33" s="468"/>
      <c r="N33" s="469"/>
    </row>
    <row r="34" spans="1:14" ht="13.5" customHeight="1" thickBot="1" x14ac:dyDescent="0.25">
      <c r="A34" s="1735" t="s">
        <v>654</v>
      </c>
      <c r="B34" s="1736"/>
      <c r="C34" s="1737">
        <f>SUM(C25:C33)</f>
        <v>9896</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15292</v>
      </c>
      <c r="M34" s="468"/>
      <c r="N34" s="478"/>
    </row>
    <row r="35" spans="1:14" ht="18" customHeight="1" thickTop="1" x14ac:dyDescent="0.2">
      <c r="A35" s="2321" t="s">
        <v>529</v>
      </c>
      <c r="B35" s="232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19882</v>
      </c>
      <c r="M38" s="494"/>
      <c r="N38" s="494"/>
    </row>
    <row r="39" spans="1:14" s="329" customFormat="1" ht="13.5" customHeight="1" x14ac:dyDescent="0.2">
      <c r="A39" s="493" t="s">
        <v>342</v>
      </c>
      <c r="B39" s="481">
        <v>730</v>
      </c>
      <c r="C39" s="465">
        <v>2461418</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212619</v>
      </c>
      <c r="N40" s="494"/>
    </row>
    <row r="41" spans="1:14" ht="13.5" customHeight="1" thickBot="1" x14ac:dyDescent="0.25">
      <c r="A41" s="1733" t="s">
        <v>655</v>
      </c>
      <c r="B41" s="1703"/>
      <c r="C41" s="1685">
        <f>(SUM(C34,C37,C38,C39))</f>
        <v>2471314</v>
      </c>
      <c r="D41" s="1685">
        <f t="shared" ref="D41:L41" si="2">SUM(D34,D37,D38:D39)</f>
        <v>0</v>
      </c>
      <c r="E41" s="1685">
        <f t="shared" si="2"/>
        <v>0</v>
      </c>
      <c r="F41" s="1685">
        <f t="shared" si="2"/>
        <v>0</v>
      </c>
      <c r="G41" s="1685">
        <f t="shared" si="2"/>
        <v>0</v>
      </c>
      <c r="H41" s="1685">
        <f t="shared" si="2"/>
        <v>0</v>
      </c>
      <c r="I41" s="1685">
        <f t="shared" si="2"/>
        <v>0</v>
      </c>
      <c r="J41" s="1685">
        <f t="shared" si="2"/>
        <v>0</v>
      </c>
      <c r="K41" s="1685">
        <f t="shared" si="2"/>
        <v>0</v>
      </c>
      <c r="L41" s="1685">
        <f t="shared" si="2"/>
        <v>35174</v>
      </c>
      <c r="M41" s="1685">
        <f>SUM(M40)</f>
        <v>212619</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25" right="0.25" top="0.75" bottom="0.75" header="0.3" footer="0.3"/>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8" sqref="A38:F3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33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33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43" t="s">
        <v>1175</v>
      </c>
      <c r="B3" s="2344"/>
      <c r="C3" s="1570"/>
      <c r="D3" s="1571"/>
      <c r="E3" s="1571"/>
      <c r="F3" s="1571"/>
      <c r="G3" s="1571"/>
      <c r="H3" s="1571"/>
      <c r="I3" s="1571"/>
      <c r="J3" s="1571"/>
      <c r="K3" s="1572"/>
      <c r="L3" s="503"/>
    </row>
    <row r="4" spans="1:13" ht="15.75" customHeight="1" x14ac:dyDescent="0.2">
      <c r="A4" s="1923" t="s">
        <v>1499</v>
      </c>
      <c r="B4" s="1924">
        <v>1000</v>
      </c>
      <c r="C4" s="1739">
        <f>'Revenues 9-14'!C109</f>
        <v>4936115</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110209</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655573</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4273809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9975706</v>
      </c>
      <c r="D8" s="1685">
        <f t="shared" ref="D8:K8" si="0">SUM(D4:D7)</f>
        <v>0</v>
      </c>
      <c r="E8" s="1685">
        <f t="shared" si="0"/>
        <v>0</v>
      </c>
      <c r="F8" s="1685">
        <f t="shared" si="0"/>
        <v>0</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2369058</v>
      </c>
      <c r="D9" s="513"/>
      <c r="E9" s="479"/>
      <c r="F9" s="479"/>
      <c r="G9" s="514"/>
      <c r="H9" s="479"/>
      <c r="I9" s="506" t="s">
        <v>1169</v>
      </c>
      <c r="J9" s="476"/>
      <c r="K9" s="479"/>
      <c r="L9" s="347"/>
    </row>
    <row r="10" spans="1:13" s="516" customFormat="1" ht="13.5" thickBot="1" x14ac:dyDescent="0.25">
      <c r="A10" s="1733" t="s">
        <v>1173</v>
      </c>
      <c r="B10" s="1706"/>
      <c r="C10" s="1685">
        <f>SUM(C8:C9)</f>
        <v>12344764</v>
      </c>
      <c r="D10" s="1685">
        <f t="shared" ref="D10:K10" si="1">SUM(D8:D9)</f>
        <v>0</v>
      </c>
      <c r="E10" s="1685">
        <f t="shared" si="1"/>
        <v>0</v>
      </c>
      <c r="F10" s="1685">
        <f t="shared" si="1"/>
        <v>0</v>
      </c>
      <c r="G10" s="1685">
        <f t="shared" si="1"/>
        <v>0</v>
      </c>
      <c r="H10" s="1685">
        <f t="shared" si="1"/>
        <v>0</v>
      </c>
      <c r="I10" s="1685">
        <f t="shared" si="1"/>
        <v>0</v>
      </c>
      <c r="J10" s="1685">
        <f t="shared" si="1"/>
        <v>0</v>
      </c>
      <c r="K10" s="1685">
        <f t="shared" si="1"/>
        <v>0</v>
      </c>
      <c r="L10" s="515"/>
    </row>
    <row r="11" spans="1:13" s="516" customFormat="1" ht="16.7" customHeight="1" thickTop="1" x14ac:dyDescent="0.2">
      <c r="A11" s="2317" t="s">
        <v>1176</v>
      </c>
      <c r="B11" s="2318"/>
      <c r="C11" s="1567"/>
      <c r="D11" s="1568"/>
      <c r="E11" s="1568"/>
      <c r="F11" s="1568"/>
      <c r="G11" s="1568"/>
      <c r="H11" s="1568"/>
      <c r="I11" s="1568"/>
      <c r="J11" s="1568"/>
      <c r="K11" s="1569"/>
      <c r="L11" s="515"/>
    </row>
    <row r="12" spans="1:13" ht="15.75" customHeight="1" x14ac:dyDescent="0.2">
      <c r="A12" s="1573" t="s">
        <v>456</v>
      </c>
      <c r="B12" s="1575">
        <v>1000</v>
      </c>
      <c r="C12" s="1739">
        <f>'Expenditures 15-22'!K33</f>
        <v>4885816</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4009436</v>
      </c>
      <c r="D13" s="1740">
        <f>'Expenditures 15-22'!K129</f>
        <v>0</v>
      </c>
      <c r="E13" s="469" t="s">
        <v>1169</v>
      </c>
      <c r="F13" s="1740">
        <f>'Expenditures 15-22'!K184</f>
        <v>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196056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9091308</v>
      </c>
      <c r="D17" s="1685">
        <f t="shared" si="2"/>
        <v>0</v>
      </c>
      <c r="E17" s="1685">
        <f t="shared" si="2"/>
        <v>0</v>
      </c>
      <c r="F17" s="1685">
        <f t="shared" si="2"/>
        <v>0</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2369058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11460366</v>
      </c>
      <c r="D19" s="1685">
        <f t="shared" si="4"/>
        <v>0</v>
      </c>
      <c r="E19" s="1685">
        <f t="shared" si="4"/>
        <v>0</v>
      </c>
      <c r="F19" s="1685">
        <f t="shared" si="4"/>
        <v>0</v>
      </c>
      <c r="G19" s="1685">
        <f t="shared" si="4"/>
        <v>0</v>
      </c>
      <c r="H19" s="1685">
        <f t="shared" si="4"/>
        <v>0</v>
      </c>
      <c r="I19" s="468"/>
      <c r="J19" s="1685">
        <f>SUM(J17:J18)</f>
        <v>0</v>
      </c>
      <c r="K19" s="1685">
        <f>SUM(K17:K18)</f>
        <v>0</v>
      </c>
      <c r="L19" s="347"/>
    </row>
    <row r="20" spans="1:12" ht="16.5" thickTop="1" thickBot="1" x14ac:dyDescent="0.25">
      <c r="A20" s="2333" t="s">
        <v>1655</v>
      </c>
      <c r="B20" s="2334"/>
      <c r="C20" s="1743">
        <f>C8-C17</f>
        <v>884398</v>
      </c>
      <c r="D20" s="1743">
        <f t="shared" ref="D20:K20" si="5">D8-D17</f>
        <v>0</v>
      </c>
      <c r="E20" s="1743">
        <f t="shared" si="5"/>
        <v>0</v>
      </c>
      <c r="F20" s="1743">
        <f t="shared" si="5"/>
        <v>0</v>
      </c>
      <c r="G20" s="1743">
        <f t="shared" si="5"/>
        <v>0</v>
      </c>
      <c r="H20" s="1743">
        <f t="shared" si="5"/>
        <v>0</v>
      </c>
      <c r="I20" s="1743">
        <f t="shared" si="5"/>
        <v>0</v>
      </c>
      <c r="J20" s="1743">
        <f t="shared" si="5"/>
        <v>0</v>
      </c>
      <c r="K20" s="1743">
        <f t="shared" si="5"/>
        <v>0</v>
      </c>
      <c r="L20" s="347"/>
    </row>
    <row r="21" spans="1:12" ht="16.7" customHeight="1" thickTop="1" x14ac:dyDescent="0.2">
      <c r="A21" s="2345" t="s">
        <v>595</v>
      </c>
      <c r="B21" s="2346"/>
      <c r="C21" s="1567"/>
      <c r="D21" s="1568"/>
      <c r="E21" s="1568"/>
      <c r="F21" s="1568"/>
      <c r="G21" s="1568"/>
      <c r="H21" s="1568"/>
      <c r="I21" s="1568"/>
      <c r="J21" s="1568"/>
      <c r="K21" s="1569"/>
      <c r="L21" s="521"/>
    </row>
    <row r="22" spans="1:12" ht="15.75" customHeight="1" collapsed="1" x14ac:dyDescent="0.2">
      <c r="A22" s="2341" t="s">
        <v>596</v>
      </c>
      <c r="B22" s="2342"/>
      <c r="C22" s="475"/>
      <c r="D22" s="475"/>
      <c r="E22" s="475"/>
      <c r="F22" s="475"/>
      <c r="G22" s="475"/>
      <c r="H22" s="475"/>
      <c r="I22" s="475"/>
      <c r="J22" s="475"/>
      <c r="K22" s="475"/>
      <c r="L22" s="347"/>
    </row>
    <row r="23" spans="1:12" s="483" customFormat="1" ht="15.75" customHeight="1" x14ac:dyDescent="0.2">
      <c r="A23" s="2337" t="s">
        <v>293</v>
      </c>
      <c r="B23" s="233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339" t="s">
        <v>981</v>
      </c>
      <c r="B32" s="234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47" t="s">
        <v>374</v>
      </c>
      <c r="B44" s="2348"/>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341" t="s">
        <v>108</v>
      </c>
      <c r="B45" s="2342"/>
      <c r="C45" s="525"/>
      <c r="D45" s="525"/>
      <c r="E45" s="525"/>
      <c r="F45" s="525"/>
      <c r="G45" s="525"/>
      <c r="H45" s="525"/>
      <c r="I45" s="525"/>
      <c r="J45" s="525"/>
      <c r="K45" s="525"/>
      <c r="L45" s="347"/>
    </row>
    <row r="46" spans="1:12" s="483" customFormat="1" ht="15.75" customHeight="1" x14ac:dyDescent="0.2">
      <c r="A46" s="2349" t="s">
        <v>109</v>
      </c>
      <c r="B46" s="235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323" t="s">
        <v>440</v>
      </c>
      <c r="B76" s="2324"/>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325" t="s">
        <v>1177</v>
      </c>
      <c r="B77" s="2326"/>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329" t="s">
        <v>597</v>
      </c>
      <c r="B78" s="2330"/>
      <c r="C78" s="1699">
        <f t="shared" ref="C78:K78" si="9">C20+C77</f>
        <v>884398</v>
      </c>
      <c r="D78" s="1699">
        <f t="shared" si="9"/>
        <v>0</v>
      </c>
      <c r="E78" s="1699">
        <f t="shared" si="9"/>
        <v>0</v>
      </c>
      <c r="F78" s="1699">
        <f t="shared" si="9"/>
        <v>0</v>
      </c>
      <c r="G78" s="1699">
        <f t="shared" si="9"/>
        <v>0</v>
      </c>
      <c r="H78" s="1699">
        <f t="shared" si="9"/>
        <v>0</v>
      </c>
      <c r="I78" s="1699">
        <f t="shared" si="9"/>
        <v>0</v>
      </c>
      <c r="J78" s="1699">
        <f t="shared" si="9"/>
        <v>0</v>
      </c>
      <c r="K78" s="1699">
        <f t="shared" si="9"/>
        <v>0</v>
      </c>
      <c r="L78" s="530"/>
    </row>
    <row r="79" spans="1:12" ht="13.5" thickTop="1" x14ac:dyDescent="0.2">
      <c r="A79" s="1491" t="s">
        <v>1946</v>
      </c>
      <c r="B79" s="531"/>
      <c r="C79" s="476">
        <v>1577020</v>
      </c>
      <c r="D79" s="476">
        <v>0</v>
      </c>
      <c r="E79" s="476">
        <v>0</v>
      </c>
      <c r="F79" s="476">
        <v>0</v>
      </c>
      <c r="G79" s="476">
        <v>0</v>
      </c>
      <c r="H79" s="476">
        <v>0</v>
      </c>
      <c r="I79" s="476">
        <v>0</v>
      </c>
      <c r="J79" s="476">
        <v>0</v>
      </c>
      <c r="K79" s="476">
        <v>0</v>
      </c>
      <c r="L79" s="347"/>
    </row>
    <row r="80" spans="1:12" x14ac:dyDescent="0.2">
      <c r="A80" s="2335" t="s">
        <v>1792</v>
      </c>
      <c r="B80" s="2336"/>
      <c r="C80" s="467">
        <v>0</v>
      </c>
      <c r="D80" s="467">
        <v>0</v>
      </c>
      <c r="E80" s="467">
        <v>0</v>
      </c>
      <c r="F80" s="467">
        <v>0</v>
      </c>
      <c r="G80" s="467">
        <v>0</v>
      </c>
      <c r="H80" s="467">
        <v>0</v>
      </c>
      <c r="I80" s="467">
        <v>0</v>
      </c>
      <c r="J80" s="467">
        <v>0</v>
      </c>
      <c r="K80" s="467">
        <v>0</v>
      </c>
      <c r="L80" s="347"/>
    </row>
    <row r="81" spans="1:12" ht="13.5" thickBot="1" x14ac:dyDescent="0.25">
      <c r="A81" s="2327" t="s">
        <v>1947</v>
      </c>
      <c r="B81" s="2328"/>
      <c r="C81" s="1685">
        <f>(SUM(C78:C80))</f>
        <v>2461418</v>
      </c>
      <c r="D81" s="1685">
        <f>SUM(D78:D80)</f>
        <v>0</v>
      </c>
      <c r="E81" s="1685">
        <f t="shared" ref="E81:K81" si="10">SUM(E78:E80)</f>
        <v>0</v>
      </c>
      <c r="F81" s="1685">
        <f t="shared" si="10"/>
        <v>0</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884398</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0.35930427095275974</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5" right="0.25" top="0.75" bottom="0.75" header="0.3" footer="0.3"/>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8" sqref="A38:F38"/>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331" t="s">
        <v>1799</v>
      </c>
      <c r="B1" s="452"/>
      <c r="C1" s="453" t="s">
        <v>425</v>
      </c>
      <c r="D1" s="453" t="s">
        <v>426</v>
      </c>
      <c r="E1" s="453" t="s">
        <v>427</v>
      </c>
      <c r="F1" s="453" t="s">
        <v>428</v>
      </c>
      <c r="G1" s="453" t="s">
        <v>429</v>
      </c>
      <c r="H1" s="453" t="s">
        <v>430</v>
      </c>
      <c r="I1" s="453" t="s">
        <v>431</v>
      </c>
      <c r="J1" s="453" t="s">
        <v>432</v>
      </c>
      <c r="K1" s="453" t="s">
        <v>756</v>
      </c>
    </row>
    <row r="2" spans="1:12" ht="36" x14ac:dyDescent="0.2">
      <c r="A2" s="233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4425548</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4425548</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18959</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18959</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1405</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65</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1470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69</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286332</v>
      </c>
      <c r="D98" s="466">
        <v>0</v>
      </c>
      <c r="E98" s="509"/>
      <c r="F98" s="466">
        <v>0</v>
      </c>
      <c r="G98" s="509"/>
      <c r="H98" s="509"/>
      <c r="I98" s="507"/>
      <c r="J98" s="509"/>
      <c r="K98" s="509"/>
    </row>
    <row r="99" spans="1:12" ht="12.75" customHeight="1" x14ac:dyDescent="0.2">
      <c r="A99" s="463" t="s">
        <v>821</v>
      </c>
      <c r="B99" s="470">
        <v>1950</v>
      </c>
      <c r="C99" s="486">
        <v>203737</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490138</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4936115</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110209</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110209</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654901</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5"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654901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672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351" t="s">
        <v>398</v>
      </c>
      <c r="B169" s="2352"/>
      <c r="C169" s="1719">
        <f t="shared" ref="C169:K169" si="6">SUM(C132,C141,C145,C146:C150,C155,C156:C167,C168)</f>
        <v>672</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655573</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353" t="s">
        <v>1492</v>
      </c>
      <c r="B172" s="235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57" t="s">
        <v>1665</v>
      </c>
      <c r="B175" s="235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361" t="s">
        <v>1664</v>
      </c>
      <c r="B176" s="236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59" t="s">
        <v>785</v>
      </c>
      <c r="B181" s="236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355" t="s">
        <v>1800</v>
      </c>
      <c r="B182" s="235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23866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14516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38382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154189</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3802018</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3956207</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5" t="s">
        <v>1934</v>
      </c>
      <c r="B261" s="470">
        <v>4981</v>
      </c>
      <c r="C261" s="572">
        <v>0</v>
      </c>
      <c r="D261" s="573">
        <v>0</v>
      </c>
      <c r="E261" s="468"/>
      <c r="F261" s="573">
        <v>0</v>
      </c>
      <c r="G261" s="573">
        <v>0</v>
      </c>
      <c r="H261" s="468"/>
      <c r="I261" s="468"/>
      <c r="J261" s="468"/>
      <c r="K261" s="468"/>
    </row>
    <row r="262" spans="1:11" ht="12.75" customHeight="1" thickTop="1" thickBot="1" x14ac:dyDescent="0.25">
      <c r="A262" s="1926"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39444</v>
      </c>
      <c r="D263" s="573">
        <v>0</v>
      </c>
      <c r="E263" s="468"/>
      <c r="F263" s="573">
        <v>0</v>
      </c>
      <c r="G263" s="573">
        <v>0</v>
      </c>
      <c r="H263" s="468"/>
      <c r="I263" s="468"/>
      <c r="J263" s="468"/>
      <c r="K263" s="468"/>
    </row>
    <row r="264" spans="1:11" ht="12.75" customHeight="1" thickTop="1" thickBot="1" x14ac:dyDescent="0.25">
      <c r="A264" s="463" t="s">
        <v>377</v>
      </c>
      <c r="B264" s="470">
        <v>4992</v>
      </c>
      <c r="C264" s="572">
        <v>239776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4273809</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4273809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9975706</v>
      </c>
      <c r="D268" s="1712">
        <f t="shared" si="12"/>
        <v>0</v>
      </c>
      <c r="E268" s="1712">
        <f t="shared" si="12"/>
        <v>0</v>
      </c>
      <c r="F268" s="1712">
        <f t="shared" si="12"/>
        <v>0</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25" right="0.25" top="0.75" bottom="0.75" header="0.3" footer="0.3"/>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8" sqref="A38:F3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331"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6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71" t="s">
        <v>297</v>
      </c>
      <c r="B3" s="237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3384666</v>
      </c>
      <c r="D8" s="466">
        <v>1324056</v>
      </c>
      <c r="E8" s="466">
        <v>64553</v>
      </c>
      <c r="F8" s="466">
        <v>39280</v>
      </c>
      <c r="G8" s="466">
        <v>14521</v>
      </c>
      <c r="H8" s="466">
        <v>0</v>
      </c>
      <c r="I8" s="467">
        <v>0</v>
      </c>
      <c r="J8" s="467">
        <v>0</v>
      </c>
      <c r="K8" s="1668">
        <f t="shared" si="0"/>
        <v>4827076</v>
      </c>
      <c r="L8" s="471">
        <v>5434642</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34628</v>
      </c>
      <c r="D13" s="466">
        <v>16745</v>
      </c>
      <c r="E13" s="466">
        <v>7367</v>
      </c>
      <c r="F13" s="466">
        <v>0</v>
      </c>
      <c r="G13" s="466">
        <v>0</v>
      </c>
      <c r="H13" s="466">
        <v>0</v>
      </c>
      <c r="I13" s="467">
        <v>0</v>
      </c>
      <c r="J13" s="467">
        <v>0</v>
      </c>
      <c r="K13" s="1668">
        <f t="shared" si="0"/>
        <v>58740</v>
      </c>
      <c r="L13" s="471">
        <v>81460</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3419294</v>
      </c>
      <c r="D33" s="1667">
        <f t="shared" ref="D33:L33" si="1">SUM(D5:D32)</f>
        <v>1340801</v>
      </c>
      <c r="E33" s="1667">
        <f t="shared" si="1"/>
        <v>71920</v>
      </c>
      <c r="F33" s="1667">
        <f t="shared" si="1"/>
        <v>39280</v>
      </c>
      <c r="G33" s="1667">
        <f t="shared" si="1"/>
        <v>14521</v>
      </c>
      <c r="H33" s="1667">
        <f t="shared" si="1"/>
        <v>0</v>
      </c>
      <c r="I33" s="1667">
        <f t="shared" si="1"/>
        <v>0</v>
      </c>
      <c r="J33" s="1667">
        <f t="shared" si="1"/>
        <v>0</v>
      </c>
      <c r="K33" s="1667">
        <f t="shared" si="1"/>
        <v>4885816</v>
      </c>
      <c r="L33" s="1667">
        <f t="shared" si="1"/>
        <v>5516102</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716747</v>
      </c>
      <c r="D36" s="479">
        <v>132856</v>
      </c>
      <c r="E36" s="479">
        <v>40213</v>
      </c>
      <c r="F36" s="479">
        <v>2433</v>
      </c>
      <c r="G36" s="479">
        <v>0</v>
      </c>
      <c r="H36" s="479">
        <v>0</v>
      </c>
      <c r="I36" s="467">
        <v>0</v>
      </c>
      <c r="J36" s="467">
        <v>0</v>
      </c>
      <c r="K36" s="1668">
        <f t="shared" ref="K36:K41" si="2">SUM(C36:J36)</f>
        <v>892249</v>
      </c>
      <c r="L36" s="466">
        <v>1008800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732503</v>
      </c>
      <c r="D38" s="466">
        <v>223112</v>
      </c>
      <c r="E38" s="466">
        <v>59169</v>
      </c>
      <c r="F38" s="466">
        <v>2966</v>
      </c>
      <c r="G38" s="466">
        <v>1995</v>
      </c>
      <c r="H38" s="466">
        <v>0</v>
      </c>
      <c r="I38" s="467">
        <v>0</v>
      </c>
      <c r="J38" s="467">
        <v>0</v>
      </c>
      <c r="K38" s="1668">
        <f t="shared" si="2"/>
        <v>1019745</v>
      </c>
      <c r="L38" s="466">
        <v>1064666</v>
      </c>
    </row>
    <row r="39" spans="1:14" x14ac:dyDescent="0.2">
      <c r="A39" s="1501" t="s">
        <v>199</v>
      </c>
      <c r="B39" s="611">
        <v>2140</v>
      </c>
      <c r="C39" s="466">
        <v>105418</v>
      </c>
      <c r="D39" s="466">
        <v>21980</v>
      </c>
      <c r="E39" s="466">
        <v>3403</v>
      </c>
      <c r="F39" s="466">
        <v>528</v>
      </c>
      <c r="G39" s="466">
        <v>0</v>
      </c>
      <c r="H39" s="466">
        <v>0</v>
      </c>
      <c r="I39" s="467">
        <v>0</v>
      </c>
      <c r="J39" s="467">
        <v>0</v>
      </c>
      <c r="K39" s="1668">
        <f t="shared" si="2"/>
        <v>131329</v>
      </c>
      <c r="L39" s="466">
        <v>143801</v>
      </c>
    </row>
    <row r="40" spans="1:14" x14ac:dyDescent="0.2">
      <c r="A40" s="1501" t="s">
        <v>200</v>
      </c>
      <c r="B40" s="611">
        <v>2150</v>
      </c>
      <c r="C40" s="466">
        <v>216693</v>
      </c>
      <c r="D40" s="466">
        <v>64571</v>
      </c>
      <c r="E40" s="466">
        <v>8001</v>
      </c>
      <c r="F40" s="466">
        <v>940</v>
      </c>
      <c r="G40" s="466">
        <v>0</v>
      </c>
      <c r="H40" s="466">
        <v>0</v>
      </c>
      <c r="I40" s="467">
        <v>0</v>
      </c>
      <c r="J40" s="467">
        <v>0</v>
      </c>
      <c r="K40" s="1668">
        <f t="shared" si="2"/>
        <v>290205</v>
      </c>
      <c r="L40" s="466">
        <v>224660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1771361</v>
      </c>
      <c r="D42" s="1667">
        <f t="shared" ref="D42:L42" si="3">SUM(D36:D41)</f>
        <v>442519</v>
      </c>
      <c r="E42" s="1667">
        <f t="shared" si="3"/>
        <v>110786</v>
      </c>
      <c r="F42" s="1667">
        <f t="shared" si="3"/>
        <v>6867</v>
      </c>
      <c r="G42" s="1667">
        <f t="shared" si="3"/>
        <v>1995</v>
      </c>
      <c r="H42" s="1667">
        <f t="shared" si="3"/>
        <v>0</v>
      </c>
      <c r="I42" s="1667">
        <f t="shared" si="3"/>
        <v>0</v>
      </c>
      <c r="J42" s="1667">
        <f t="shared" si="3"/>
        <v>0</v>
      </c>
      <c r="K42" s="1667">
        <f t="shared" si="3"/>
        <v>2333528</v>
      </c>
      <c r="L42" s="1667">
        <f t="shared" si="3"/>
        <v>2441927</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183934</v>
      </c>
      <c r="D44" s="479">
        <v>30787</v>
      </c>
      <c r="E44" s="479">
        <v>77432</v>
      </c>
      <c r="F44" s="479">
        <v>2361</v>
      </c>
      <c r="G44" s="479">
        <v>0</v>
      </c>
      <c r="H44" s="479">
        <v>0</v>
      </c>
      <c r="I44" s="467">
        <v>0</v>
      </c>
      <c r="J44" s="467">
        <v>0</v>
      </c>
      <c r="K44" s="1669">
        <f>SUM(C44:J44)</f>
        <v>294514</v>
      </c>
      <c r="L44" s="479">
        <v>525270</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13002</v>
      </c>
    </row>
    <row r="47" spans="1:14" ht="12.75" customHeight="1" thickBot="1" x14ac:dyDescent="0.25">
      <c r="A47" s="1665" t="s">
        <v>561</v>
      </c>
      <c r="B47" s="1666" t="s">
        <v>32</v>
      </c>
      <c r="C47" s="1667">
        <f>SUM(C44:C46)</f>
        <v>183934</v>
      </c>
      <c r="D47" s="1667">
        <f t="shared" ref="D47:K47" si="4">SUM(D44:D46)</f>
        <v>30787</v>
      </c>
      <c r="E47" s="1667">
        <f t="shared" si="4"/>
        <v>77432</v>
      </c>
      <c r="F47" s="1667">
        <f t="shared" si="4"/>
        <v>2361</v>
      </c>
      <c r="G47" s="1667">
        <f t="shared" si="4"/>
        <v>0</v>
      </c>
      <c r="H47" s="1667">
        <f t="shared" si="4"/>
        <v>0</v>
      </c>
      <c r="I47" s="1667">
        <f t="shared" si="4"/>
        <v>0</v>
      </c>
      <c r="J47" s="1667">
        <f t="shared" si="4"/>
        <v>0</v>
      </c>
      <c r="K47" s="1667">
        <f t="shared" si="4"/>
        <v>294514</v>
      </c>
      <c r="L47" s="1667">
        <f>SUM(L44:L46)</f>
        <v>538272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11771</v>
      </c>
      <c r="F49" s="479">
        <v>0</v>
      </c>
      <c r="G49" s="479">
        <v>0</v>
      </c>
      <c r="H49" s="479">
        <v>0</v>
      </c>
      <c r="I49" s="467">
        <v>0</v>
      </c>
      <c r="J49" s="467">
        <v>0</v>
      </c>
      <c r="K49" s="1669">
        <f>SUM(C49:J49)</f>
        <v>11771</v>
      </c>
      <c r="L49" s="479">
        <v>0</v>
      </c>
    </row>
    <row r="50" spans="1:14" x14ac:dyDescent="0.2">
      <c r="A50" s="1501" t="s">
        <v>818</v>
      </c>
      <c r="B50" s="611">
        <v>2320</v>
      </c>
      <c r="C50" s="467">
        <v>136253</v>
      </c>
      <c r="D50" s="466">
        <v>29407</v>
      </c>
      <c r="E50" s="466">
        <v>22719</v>
      </c>
      <c r="F50" s="466">
        <v>0</v>
      </c>
      <c r="G50" s="466">
        <v>0</v>
      </c>
      <c r="H50" s="466">
        <v>0</v>
      </c>
      <c r="I50" s="467">
        <v>0</v>
      </c>
      <c r="J50" s="467">
        <v>0</v>
      </c>
      <c r="K50" s="1669">
        <f>SUM(C50:J50)</f>
        <v>188379</v>
      </c>
      <c r="L50" s="466">
        <v>199963</v>
      </c>
    </row>
    <row r="51" spans="1:14" x14ac:dyDescent="0.2">
      <c r="A51" s="1501" t="s">
        <v>42</v>
      </c>
      <c r="B51" s="611">
        <v>2330</v>
      </c>
      <c r="C51" s="466">
        <v>144708</v>
      </c>
      <c r="D51" s="466">
        <v>64358</v>
      </c>
      <c r="E51" s="466">
        <v>65749</v>
      </c>
      <c r="F51" s="466">
        <v>4180</v>
      </c>
      <c r="G51" s="466">
        <v>0</v>
      </c>
      <c r="H51" s="466">
        <v>0</v>
      </c>
      <c r="I51" s="467">
        <v>0</v>
      </c>
      <c r="J51" s="467">
        <v>0</v>
      </c>
      <c r="K51" s="1669">
        <f>SUM(C51:J51)</f>
        <v>278995</v>
      </c>
      <c r="L51" s="466">
        <v>295201</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280961</v>
      </c>
      <c r="D53" s="1667">
        <f t="shared" ref="D53:L53" si="5">SUM(D49:D52)</f>
        <v>93765</v>
      </c>
      <c r="E53" s="1667">
        <f t="shared" si="5"/>
        <v>100239</v>
      </c>
      <c r="F53" s="1667">
        <f t="shared" si="5"/>
        <v>4180</v>
      </c>
      <c r="G53" s="1667">
        <f t="shared" si="5"/>
        <v>0</v>
      </c>
      <c r="H53" s="1667">
        <f t="shared" si="5"/>
        <v>0</v>
      </c>
      <c r="I53" s="1667">
        <f t="shared" si="5"/>
        <v>0</v>
      </c>
      <c r="J53" s="1667">
        <f t="shared" si="5"/>
        <v>0</v>
      </c>
      <c r="K53" s="1667">
        <f t="shared" si="5"/>
        <v>479145</v>
      </c>
      <c r="L53" s="1667">
        <f t="shared" si="5"/>
        <v>495164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20827</v>
      </c>
      <c r="F59" s="479">
        <v>0</v>
      </c>
      <c r="G59" s="479">
        <v>0</v>
      </c>
      <c r="H59" s="479">
        <v>0</v>
      </c>
      <c r="I59" s="467">
        <v>0</v>
      </c>
      <c r="J59" s="467">
        <v>0</v>
      </c>
      <c r="K59" s="1669">
        <f t="shared" ref="K59:K64" si="7">SUM(C59:J59)</f>
        <v>20827</v>
      </c>
      <c r="L59" s="479">
        <v>0</v>
      </c>
      <c r="M59" s="606"/>
      <c r="N59" s="606"/>
    </row>
    <row r="60" spans="1:14" s="343" customFormat="1" x14ac:dyDescent="0.2">
      <c r="A60" s="1501" t="s">
        <v>463</v>
      </c>
      <c r="B60" s="611">
        <v>2520</v>
      </c>
      <c r="C60" s="466">
        <v>119534</v>
      </c>
      <c r="D60" s="466">
        <v>61276</v>
      </c>
      <c r="E60" s="466">
        <v>79856</v>
      </c>
      <c r="F60" s="466">
        <v>4670</v>
      </c>
      <c r="G60" s="466">
        <v>0</v>
      </c>
      <c r="H60" s="466">
        <v>0</v>
      </c>
      <c r="I60" s="467">
        <v>0</v>
      </c>
      <c r="J60" s="467">
        <v>0</v>
      </c>
      <c r="K60" s="1669">
        <f t="shared" si="7"/>
        <v>265336</v>
      </c>
      <c r="L60" s="466">
        <v>160714</v>
      </c>
      <c r="M60" s="606"/>
      <c r="N60" s="606"/>
    </row>
    <row r="61" spans="1:14" s="343" customFormat="1" x14ac:dyDescent="0.2">
      <c r="A61" s="1501" t="s">
        <v>197</v>
      </c>
      <c r="B61" s="611">
        <v>2540</v>
      </c>
      <c r="C61" s="466">
        <v>69340</v>
      </c>
      <c r="D61" s="466">
        <v>2221</v>
      </c>
      <c r="E61" s="466">
        <v>253570</v>
      </c>
      <c r="F61" s="466">
        <v>7739</v>
      </c>
      <c r="G61" s="466">
        <v>0</v>
      </c>
      <c r="H61" s="466">
        <v>0</v>
      </c>
      <c r="I61" s="467">
        <v>0</v>
      </c>
      <c r="J61" s="467">
        <v>0</v>
      </c>
      <c r="K61" s="1669">
        <f t="shared" si="7"/>
        <v>332870</v>
      </c>
      <c r="L61" s="466">
        <v>420357</v>
      </c>
      <c r="M61" s="606"/>
      <c r="N61" s="606"/>
    </row>
    <row r="62" spans="1:14" s="343" customFormat="1" x14ac:dyDescent="0.2">
      <c r="A62" s="1501" t="s">
        <v>953</v>
      </c>
      <c r="B62" s="611">
        <v>2550</v>
      </c>
      <c r="C62" s="466">
        <v>0</v>
      </c>
      <c r="D62" s="466">
        <v>0</v>
      </c>
      <c r="E62" s="466">
        <v>9043</v>
      </c>
      <c r="F62" s="466">
        <v>0</v>
      </c>
      <c r="G62" s="466">
        <v>0</v>
      </c>
      <c r="H62" s="466">
        <v>0</v>
      </c>
      <c r="I62" s="467">
        <v>0</v>
      </c>
      <c r="J62" s="467">
        <v>0</v>
      </c>
      <c r="K62" s="1669">
        <f t="shared" si="7"/>
        <v>9043</v>
      </c>
      <c r="L62" s="466">
        <v>29000</v>
      </c>
      <c r="M62" s="606"/>
      <c r="N62" s="606"/>
    </row>
    <row r="63" spans="1:14" s="606" customFormat="1" x14ac:dyDescent="0.2">
      <c r="A63" s="1501" t="s">
        <v>100</v>
      </c>
      <c r="B63" s="611">
        <v>2560</v>
      </c>
      <c r="C63" s="466">
        <v>0</v>
      </c>
      <c r="D63" s="466">
        <v>0</v>
      </c>
      <c r="E63" s="466">
        <v>29568</v>
      </c>
      <c r="F63" s="466">
        <v>0</v>
      </c>
      <c r="G63" s="466">
        <v>0</v>
      </c>
      <c r="H63" s="466">
        <v>0</v>
      </c>
      <c r="I63" s="467">
        <v>0</v>
      </c>
      <c r="J63" s="467">
        <v>0</v>
      </c>
      <c r="K63" s="1669">
        <f t="shared" si="7"/>
        <v>29568</v>
      </c>
      <c r="L63" s="466">
        <v>500</v>
      </c>
    </row>
    <row r="64" spans="1:14" s="606" customFormat="1" x14ac:dyDescent="0.2">
      <c r="A64" s="1506" t="s">
        <v>101</v>
      </c>
      <c r="B64" s="627">
        <v>2570</v>
      </c>
      <c r="C64" s="467">
        <v>0</v>
      </c>
      <c r="D64" s="479">
        <v>0</v>
      </c>
      <c r="E64" s="479">
        <v>14635</v>
      </c>
      <c r="F64" s="479">
        <v>0</v>
      </c>
      <c r="G64" s="479">
        <v>0</v>
      </c>
      <c r="H64" s="479">
        <v>0</v>
      </c>
      <c r="I64" s="467">
        <v>0</v>
      </c>
      <c r="J64" s="467">
        <v>0</v>
      </c>
      <c r="K64" s="1669">
        <f t="shared" si="7"/>
        <v>14635</v>
      </c>
      <c r="L64" s="479">
        <v>35452</v>
      </c>
    </row>
    <row r="65" spans="1:14" s="343" customFormat="1" ht="12.75" customHeight="1" thickBot="1" x14ac:dyDescent="0.25">
      <c r="A65" s="1665" t="s">
        <v>719</v>
      </c>
      <c r="B65" s="1666" t="s">
        <v>35</v>
      </c>
      <c r="C65" s="1667">
        <f>SUM(C59:C64)</f>
        <v>188874</v>
      </c>
      <c r="D65" s="1667">
        <f t="shared" ref="D65:L65" si="8">SUM(D59:D64)</f>
        <v>63497</v>
      </c>
      <c r="E65" s="1667">
        <f t="shared" si="8"/>
        <v>407499</v>
      </c>
      <c r="F65" s="1667">
        <f t="shared" si="8"/>
        <v>12409</v>
      </c>
      <c r="G65" s="1667">
        <f t="shared" si="8"/>
        <v>0</v>
      </c>
      <c r="H65" s="1667">
        <f t="shared" si="8"/>
        <v>0</v>
      </c>
      <c r="I65" s="1667">
        <f t="shared" si="8"/>
        <v>0</v>
      </c>
      <c r="J65" s="1667">
        <f t="shared" si="8"/>
        <v>0</v>
      </c>
      <c r="K65" s="1667">
        <f t="shared" si="8"/>
        <v>672279</v>
      </c>
      <c r="L65" s="1667">
        <f t="shared" si="8"/>
        <v>646023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43700</v>
      </c>
      <c r="D67" s="466">
        <v>16210</v>
      </c>
      <c r="E67" s="466">
        <v>16524</v>
      </c>
      <c r="F67" s="466">
        <v>19068</v>
      </c>
      <c r="G67" s="466">
        <v>13773</v>
      </c>
      <c r="H67" s="466">
        <v>0</v>
      </c>
      <c r="I67" s="467">
        <v>0</v>
      </c>
      <c r="J67" s="467">
        <v>0</v>
      </c>
      <c r="K67" s="1669">
        <f>SUM(C67:J67)</f>
        <v>109275</v>
      </c>
      <c r="L67" s="479">
        <v>171469</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2000</v>
      </c>
      <c r="M70" s="606"/>
      <c r="N70" s="606"/>
    </row>
    <row r="71" spans="1:14" s="343" customFormat="1" x14ac:dyDescent="0.2">
      <c r="A71" s="1501" t="s">
        <v>404</v>
      </c>
      <c r="B71" s="611">
        <v>2660</v>
      </c>
      <c r="C71" s="466">
        <v>0</v>
      </c>
      <c r="D71" s="466">
        <v>0</v>
      </c>
      <c r="E71" s="466">
        <v>120000</v>
      </c>
      <c r="F71" s="466">
        <v>624</v>
      </c>
      <c r="G71" s="466">
        <v>0</v>
      </c>
      <c r="H71" s="466">
        <v>0</v>
      </c>
      <c r="I71" s="467">
        <v>0</v>
      </c>
      <c r="J71" s="467">
        <v>0</v>
      </c>
      <c r="K71" s="1669">
        <f>SUM(C71:J71)</f>
        <v>120624</v>
      </c>
      <c r="L71" s="466">
        <v>57078</v>
      </c>
      <c r="M71" s="606"/>
      <c r="N71" s="606"/>
    </row>
    <row r="72" spans="1:14" s="343" customFormat="1" ht="12.75" customHeight="1" thickBot="1" x14ac:dyDescent="0.25">
      <c r="A72" s="1665" t="s">
        <v>37</v>
      </c>
      <c r="B72" s="1672" t="s">
        <v>36</v>
      </c>
      <c r="C72" s="1667">
        <f>SUM(C67:C71)</f>
        <v>43700</v>
      </c>
      <c r="D72" s="1667">
        <f t="shared" ref="D72:K72" si="9">SUM(D67:D71)</f>
        <v>16210</v>
      </c>
      <c r="E72" s="1667">
        <f t="shared" si="9"/>
        <v>136524</v>
      </c>
      <c r="F72" s="1667">
        <f t="shared" si="9"/>
        <v>19692</v>
      </c>
      <c r="G72" s="1667">
        <f t="shared" si="9"/>
        <v>13773</v>
      </c>
      <c r="H72" s="1667">
        <f t="shared" si="9"/>
        <v>0</v>
      </c>
      <c r="I72" s="1667">
        <f t="shared" si="9"/>
        <v>0</v>
      </c>
      <c r="J72" s="1667">
        <f t="shared" si="9"/>
        <v>0</v>
      </c>
      <c r="K72" s="1667">
        <f t="shared" si="9"/>
        <v>229899</v>
      </c>
      <c r="L72" s="1667">
        <f>SUM(L67:L71)</f>
        <v>230547</v>
      </c>
      <c r="M72" s="606"/>
      <c r="N72" s="606"/>
    </row>
    <row r="73" spans="1:14" s="343" customFormat="1" ht="14.25" thickTop="1" thickBot="1" x14ac:dyDescent="0.25">
      <c r="A73" s="1507" t="s">
        <v>980</v>
      </c>
      <c r="B73" s="629" t="s">
        <v>574</v>
      </c>
      <c r="C73" s="467">
        <v>0</v>
      </c>
      <c r="D73" s="467">
        <v>0</v>
      </c>
      <c r="E73" s="467">
        <v>71</v>
      </c>
      <c r="F73" s="467">
        <v>0</v>
      </c>
      <c r="G73" s="467">
        <v>0</v>
      </c>
      <c r="H73" s="467">
        <v>0</v>
      </c>
      <c r="I73" s="467">
        <v>0</v>
      </c>
      <c r="J73" s="467">
        <v>0</v>
      </c>
      <c r="K73" s="1667">
        <f>SUM(C73:J73)</f>
        <v>71</v>
      </c>
      <c r="L73" s="573">
        <v>2800</v>
      </c>
      <c r="M73" s="606"/>
      <c r="N73" s="606"/>
    </row>
    <row r="74" spans="1:14" ht="12.75" customHeight="1" thickTop="1" thickBot="1" x14ac:dyDescent="0.25">
      <c r="A74" s="1665" t="s">
        <v>811</v>
      </c>
      <c r="B74" s="1673">
        <v>2000</v>
      </c>
      <c r="C74" s="1674">
        <f>SUM(C42,C47,C53,C57,C65,C72,C73)</f>
        <v>2468830</v>
      </c>
      <c r="D74" s="1674">
        <f t="shared" ref="D74:K74" si="10">SUM(D42,D47,D53,D57,D65,D72,D73)</f>
        <v>646778</v>
      </c>
      <c r="E74" s="1674">
        <f t="shared" si="10"/>
        <v>832551</v>
      </c>
      <c r="F74" s="1674">
        <f t="shared" si="10"/>
        <v>45509</v>
      </c>
      <c r="G74" s="1674">
        <f t="shared" si="10"/>
        <v>15768</v>
      </c>
      <c r="H74" s="1674">
        <f t="shared" si="10"/>
        <v>0</v>
      </c>
      <c r="I74" s="1674">
        <f t="shared" si="10"/>
        <v>0</v>
      </c>
      <c r="J74" s="1674">
        <f t="shared" si="10"/>
        <v>0</v>
      </c>
      <c r="K74" s="1674">
        <f t="shared" si="10"/>
        <v>4009436</v>
      </c>
      <c r="L74" s="1674">
        <f>SUM(L42,L47,L53,L57,L65,L72,L73)</f>
        <v>4354733</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85847</v>
      </c>
      <c r="F79" s="613"/>
      <c r="G79" s="613"/>
      <c r="H79" s="466">
        <v>0</v>
      </c>
      <c r="I79" s="475"/>
      <c r="J79" s="475"/>
      <c r="K79" s="1668">
        <f t="shared" si="11"/>
        <v>85847</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85847</v>
      </c>
      <c r="F84" s="613"/>
      <c r="G84" s="613"/>
      <c r="H84" s="1667">
        <f>SUM(H78:H83)</f>
        <v>0</v>
      </c>
      <c r="I84" s="475"/>
      <c r="J84" s="475"/>
      <c r="K84" s="1667">
        <f>SUM(K78:K83)</f>
        <v>85847</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110209</v>
      </c>
      <c r="I94" s="475"/>
      <c r="J94" s="475"/>
      <c r="K94" s="1674">
        <f t="shared" si="12"/>
        <v>110209</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140000</v>
      </c>
    </row>
    <row r="100" spans="1:14" ht="14.25" thickTop="1" thickBot="1" x14ac:dyDescent="0.25">
      <c r="A100" s="1677" t="s">
        <v>1486</v>
      </c>
      <c r="B100" s="1678">
        <v>4300</v>
      </c>
      <c r="C100" s="613"/>
      <c r="D100" s="613"/>
      <c r="E100" s="1674">
        <f>SUM(E93:E99)</f>
        <v>0</v>
      </c>
      <c r="F100" s="613"/>
      <c r="G100" s="613"/>
      <c r="H100" s="1674">
        <f>SUM(H93:H99)</f>
        <v>110209</v>
      </c>
      <c r="I100" s="475"/>
      <c r="J100" s="475"/>
      <c r="K100" s="1674">
        <f>SUM(K93:K99)</f>
        <v>110209</v>
      </c>
      <c r="L100" s="1674">
        <f>SUM(L93:L99)</f>
        <v>140000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85847</v>
      </c>
      <c r="F102" s="613"/>
      <c r="G102" s="613"/>
      <c r="H102" s="1674">
        <f>SUM(H84,H92,H100,H101)</f>
        <v>110209</v>
      </c>
      <c r="I102" s="475"/>
      <c r="J102" s="475"/>
      <c r="K102" s="1674">
        <f>SUM(K84,K92,K100,K101)</f>
        <v>196056</v>
      </c>
      <c r="L102" s="1674">
        <f>SUM(L84,L92,L100,L101)</f>
        <v>140000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5888124</v>
      </c>
      <c r="D114" s="1667">
        <f t="shared" ref="D114:K114" si="13">SUM(D33,D74,D75,D102,D112,D113)</f>
        <v>1987579</v>
      </c>
      <c r="E114" s="1667">
        <f t="shared" si="13"/>
        <v>990318</v>
      </c>
      <c r="F114" s="1667">
        <f t="shared" si="13"/>
        <v>84789</v>
      </c>
      <c r="G114" s="1667">
        <f t="shared" si="13"/>
        <v>30289</v>
      </c>
      <c r="H114" s="1667">
        <f>SUM(H33,H74,H75,H102,H112,H113)</f>
        <v>110209</v>
      </c>
      <c r="I114" s="1667">
        <f t="shared" si="13"/>
        <v>0</v>
      </c>
      <c r="J114" s="1667">
        <f t="shared" si="13"/>
        <v>0</v>
      </c>
      <c r="K114" s="1667">
        <f t="shared" si="13"/>
        <v>9091308</v>
      </c>
      <c r="L114" s="1667">
        <f>SUM(L33,L74,L75,L102,L112,L113)</f>
        <v>10010835</v>
      </c>
    </row>
    <row r="115" spans="1:14" ht="13.5" thickTop="1" x14ac:dyDescent="0.2">
      <c r="A115" s="2363" t="s">
        <v>996</v>
      </c>
      <c r="B115" s="2364"/>
      <c r="C115" s="615"/>
      <c r="D115" s="615"/>
      <c r="E115" s="615"/>
      <c r="F115" s="615"/>
      <c r="G115" s="615"/>
      <c r="H115" s="615"/>
      <c r="I115" s="615"/>
      <c r="J115" s="615"/>
      <c r="K115" s="1681">
        <f>'Revenues 9-14'!C268-'Expenditures 15-22'!K114</f>
        <v>884398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68" t="s">
        <v>296</v>
      </c>
      <c r="B117" s="236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380" t="s">
        <v>620</v>
      </c>
      <c r="B151" s="2360"/>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383" t="s">
        <v>1178</v>
      </c>
      <c r="B152" s="2384"/>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68" t="s">
        <v>621</v>
      </c>
      <c r="B154" s="237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363" t="s">
        <v>996</v>
      </c>
      <c r="B175" s="2364"/>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363" t="s">
        <v>996</v>
      </c>
      <c r="B211" s="2364"/>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85" t="s">
        <v>965</v>
      </c>
      <c r="B213" s="238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381" t="s">
        <v>505</v>
      </c>
      <c r="B295" s="2382"/>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363" t="s">
        <v>996</v>
      </c>
      <c r="B296" s="2364"/>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73" t="s">
        <v>143</v>
      </c>
      <c r="B298" s="236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378" t="s">
        <v>277</v>
      </c>
      <c r="B312" s="237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374" t="s">
        <v>996</v>
      </c>
      <c r="B313" s="2375"/>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87" t="s">
        <v>149</v>
      </c>
      <c r="B315" s="238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89" t="s">
        <v>898</v>
      </c>
      <c r="B317" s="238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376" t="s">
        <v>996</v>
      </c>
      <c r="B343" s="2377"/>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66" t="s">
        <v>966</v>
      </c>
      <c r="B345" s="236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363" t="s">
        <v>996</v>
      </c>
      <c r="B368" s="2364"/>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5" right="0.25" top="0.7" bottom="0.7" header="0.3" footer="0.3"/>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6ce3111e-7420-4802-b50a-75d4e9a0b980"/>
    <ds:schemaRef ds:uri="http://purl.org/dc/elements/1.1/"/>
    <ds:schemaRef ds:uri="http://purl.org/dc/terms/"/>
    <ds:schemaRef ds:uri="http://schemas.openxmlformats.org/package/2006/metadata/core-properties"/>
    <ds:schemaRef ds:uri="http://www.w3.org/XML/1998/namespace"/>
    <ds:schemaRef ds:uri="http://schemas.microsoft.com/sharepoint/v3"/>
    <ds:schemaRef ds:uri="4d435f69-8686-490b-bd6d-b153bf22ab50"/>
    <ds:schemaRef ds:uri="http://schemas.microsoft.com/office/infopath/2007/PartnerControls"/>
    <ds:schemaRef ds:uri="d21dc803-237d-4c68-8692-8d731fd29118"/>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21</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Finding 2019-001</vt:lpstr>
      <vt:lpstr>Finding 2019-002</vt:lpstr>
      <vt:lpstr>Finding 2019-003</vt:lpstr>
      <vt:lpstr>Finding 2019-004</vt:lpstr>
      <vt:lpstr>SF&amp;QC Sec-2</vt:lpstr>
      <vt:lpstr>SF&amp;QC Sec-3</vt:lpstr>
      <vt:lpstr>SSPAF</vt:lpstr>
      <vt:lpstr>CAP 2019-001</vt:lpstr>
      <vt:lpstr>CAP 2019-002</vt:lpstr>
      <vt:lpstr>CAP 2019-003</vt:lpstr>
      <vt:lpstr>CAP 2019-004</vt:lpstr>
      <vt:lpstr>' SEFA'!Print_Area</vt:lpstr>
      <vt:lpstr>'Finding 2019-003'!Print_Area</vt:lpstr>
      <vt:lpstr>'Finding 2019-004'!Print_Area</vt:lpstr>
      <vt:lpstr>'SEFA NOTES'!Print_Area</vt:lpstr>
      <vt:lpstr>'SEFA Reconcile'!Print_Area</vt:lpstr>
      <vt:lpstr>SEFA19!Print_Area</vt:lpstr>
      <vt:lpstr>'SF&amp;QC Sec-1'!Print_Area</vt:lpstr>
      <vt:lpstr>'SF&amp;QC Sec-3'!Print_Area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2020-01-08T21:34:24Z</cp:lastPrinted>
  <dcterms:created xsi:type="dcterms:W3CDTF">2003-10-29T19:06:34Z</dcterms:created>
  <dcterms:modified xsi:type="dcterms:W3CDTF">2020-01-15T20:48:13Z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