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3CEFFEF5-57BA-47AE-819C-025D924F402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0" i="127"/>
  <c r="B61"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F34" i="34" l="1"/>
  <c r="G15" i="145"/>
  <c r="L5" i="11"/>
  <c r="B2056" i="106" s="1"/>
  <c r="D2056" i="106" s="1"/>
  <c r="H28" i="118"/>
  <c r="L22" i="37"/>
  <c r="F19" i="7"/>
  <c r="B1807" i="106" s="1"/>
  <c r="D1807" i="106" s="1"/>
  <c r="C352" i="29"/>
  <c r="B6289" i="106"/>
  <c r="D6289" i="106" s="1"/>
  <c r="H76" i="4"/>
  <c r="B3298" i="106" s="1"/>
  <c r="D3298" i="106" s="1"/>
  <c r="D54" i="36"/>
  <c r="I210" i="29"/>
  <c r="B7071" i="106" s="1"/>
  <c r="D7071" i="106" s="1"/>
  <c r="H33" i="118"/>
  <c r="J22" i="37"/>
  <c r="J210" i="29"/>
  <c r="B7072" i="106" s="1"/>
  <c r="D7072" i="106" s="1"/>
  <c r="L13" i="11"/>
  <c r="B2060" i="106" s="1"/>
  <c r="D2060" i="106" s="1"/>
  <c r="C342" i="29"/>
  <c r="B7216" i="106" s="1"/>
  <c r="D7216" i="106" s="1"/>
  <c r="F46" i="34"/>
  <c r="D6103" i="106"/>
  <c r="D24" i="37"/>
  <c r="B4270" i="106" s="1"/>
  <c r="D4270" i="106" s="1"/>
  <c r="J41" i="3"/>
  <c r="L342" i="29"/>
  <c r="K184" i="29"/>
  <c r="F13" i="4" s="1"/>
  <c r="B2596" i="106" s="1"/>
  <c r="D2596" i="106" s="1"/>
  <c r="G210" i="29"/>
  <c r="C129" i="29"/>
  <c r="E29" i="108"/>
  <c r="L367" i="29"/>
  <c r="H365" i="29"/>
  <c r="B7242" i="106" s="1"/>
  <c r="D7242" i="106" s="1"/>
  <c r="J352" i="29"/>
  <c r="J367" i="29" s="1"/>
  <c r="B7245" i="106" s="1"/>
  <c r="D7245" i="106" s="1"/>
  <c r="J77" i="4"/>
  <c r="B6262" i="106" s="1"/>
  <c r="D6262" i="106" s="1"/>
  <c r="F77" i="4"/>
  <c r="B3255" i="106" s="1"/>
  <c r="D3255" i="106" s="1"/>
  <c r="K76" i="4"/>
  <c r="B3586" i="106" s="1"/>
  <c r="D358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K28" i="118" l="1"/>
  <c r="O27" i="118" s="1"/>
  <c r="O29" i="118" s="1"/>
  <c r="L114" i="29"/>
  <c r="K77" i="4"/>
  <c r="B3587" i="106" s="1"/>
  <c r="D3587" i="106" s="1"/>
  <c r="D44" i="36"/>
  <c r="D7256" i="106"/>
  <c r="D7251" i="106"/>
  <c r="F41" i="108"/>
  <c r="G43" i="108" s="1"/>
  <c r="I7" i="4"/>
  <c r="B4444" i="106" s="1"/>
  <c r="D4444" i="106" s="1"/>
  <c r="C114" i="29"/>
  <c r="B757" i="106" s="1"/>
  <c r="D757" i="106" s="1"/>
  <c r="N23" i="3"/>
  <c r="B284" i="106" s="1"/>
  <c r="D284" i="106" s="1"/>
  <c r="K342" i="29"/>
  <c r="F13" i="34" s="1"/>
  <c r="L16" i="11"/>
  <c r="B2061" i="106" s="1"/>
  <c r="D2061" i="106" s="1"/>
  <c r="D41" i="108"/>
  <c r="E43" i="108" s="1"/>
  <c r="B2031" i="106"/>
  <c r="D2031" i="106" s="1"/>
  <c r="D7254" i="106"/>
  <c r="D7250" i="106"/>
  <c r="B1365" i="106"/>
  <c r="D1365" i="106" s="1"/>
  <c r="F65" i="34"/>
  <c r="B5778" i="106"/>
  <c r="D5778" i="106" s="1"/>
  <c r="G6" i="4"/>
  <c r="B2604" i="106" s="1"/>
  <c r="D2604" i="106" s="1"/>
  <c r="B5770" i="106"/>
  <c r="D5770"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J10" i="4" l="1"/>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<sst xmlns="http://schemas.openxmlformats.org/spreadsheetml/2006/main" count="5062" uniqueCount="2095">
  <si>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</si>
  <si>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</si>
  <si>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</si>
  <si>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</si>
  <si>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</si>
  <si>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</si>
  <si>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</si>
  <si>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</si>
  <si>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</si>
  <si>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</si>
  <si>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</si>
  <si>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</si>
  <si>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</si>
  <si>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</si>
  <si>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</si>
  <si>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</si>
  <si>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</si>
  <si>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</si>
  <si>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</si>
  <si>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</si>
  <si>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</si>
  <si>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</si>
  <si>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</si>
  <si>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</si>
  <si>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</si>
  <si>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</si>
  <si>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</si>
  <si>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</si>
  <si>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</si>
  <si>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</si>
  <si>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</si>
  <si>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</si>
  <si>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</si>
  <si>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</si>
  <si>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</si>
  <si>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</si>
  <si>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</si>
  <si>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</si>
  <si>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</si>
  <si>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</si>
  <si>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</si>
  <si>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</si>
  <si>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</si>
  <si>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</si>
  <si>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</si>
  <si>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</si>
  <si>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</si>
  <si>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</si>
  <si>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</si>
  <si>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</si>
  <si>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</si>
  <si>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</si>
  <si>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</si>
  <si>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</si>
  <si>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</si>
  <si>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</si>
  <si>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</si>
  <si>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</si>
  <si>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</si>
  <si>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</si>
  <si>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</si>
  <si>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</si>
  <si>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</si>
  <si>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</si>
  <si>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</si>
  <si>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</si>
  <si>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</si>
  <si>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</si>
  <si>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</si>
  <si>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</si>
  <si>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</si>
  <si>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</si>
  <si>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</si>
  <si>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</si>
  <si>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</si>
  <si>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</si>
  <si>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</si>
  <si>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</si>
  <si>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</si>
  <si>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</si>
  <si>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</si>
  <si>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</si>
  <si>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</si>
  <si>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</si>
  <si>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</si>
  <si>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</si>
  <si>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</si>
  <si>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</si>
  <si>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</si>
  <si>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</si>
  <si>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</si>
  <si>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</si>
  <si>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</si>
  <si>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</si>
  <si>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</si>
  <si>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</si>
  <si>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</si>
  <si>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</si>
  <si>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</si>
  <si>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</si>
  <si>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</si>
  <si>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</si>
  <si>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</si>
  <si>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</si>
  <si>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</si>
  <si>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</si>
  <si>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</si>
  <si>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</si>
  <si>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</si>
  <si>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</si>
  <si>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</si>
  <si>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</si>
  <si>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</si>
  <si>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</si>
  <si>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</si>
  <si>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</si>
  <si>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</si>
  <si>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</si>
  <si>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</si>
  <si>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</si>
  <si>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</si>
  <si>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</si>
  <si>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</si>
  <si>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</si>
  <si>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</si>
  <si>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</si>
  <si>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</si>
  <si>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</si>
  <si>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</si>
  <si>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</si>
  <si>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</si>
  <si>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</si>
  <si>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</si>
  <si>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</si>
  <si>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</si>
  <si>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</si>
  <si>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</si>
  <si>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</si>
  <si>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</si>
  <si>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</si>
  <si>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</si>
  <si>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</si>
  <si>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</si>
  <si>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</si>
  <si>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</si>
  <si>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</si>
  <si>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</si>
  <si>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</si>
  <si>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</si>
  <si>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</si>
  <si>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</si>
  <si>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</si>
  <si>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</si>
  <si>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</si>
  <si>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</si>
  <si>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</si>
  <si>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</si>
  <si>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</si>
  <si>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</si>
  <si>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</si>
  <si>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</si>
  <si>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</si>
  <si>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</si>
  <si>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</si>
  <si>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</si>
  <si>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</si>
  <si>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</si>
  <si>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</si>
  <si>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</si>
  <si>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</si>
  <si>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</si>
  <si>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</si>
  <si>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</si>
  <si>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</si>
  <si>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</si>
  <si>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</si>
  <si>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</si>
  <si>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</si>
  <si>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</si>
  <si>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</si>
  <si>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</si>
  <si>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</si>
  <si>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</si>
  <si>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</si>
  <si>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</si>
  <si>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</si>
  <si>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</si>
  <si>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</si>
  <si>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</si>
  <si>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</si>
  <si>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</si>
  <si>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</si>
  <si>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</si>
  <si>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</si>
  <si>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</si>
  <si>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</si>
  <si>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</si>
  <si>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</si>
  <si>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</si>
  <si>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</si>
  <si>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</si>
  <si>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</si>
  <si>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</si>
  <si>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</si>
  <si>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</si>
  <si>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</si>
  <si>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</si>
  <si>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</si>
  <si>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</si>
  <si>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</si>
  <si>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</si>
  <si>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</si>
  <si>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</si>
  <si>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</si>
  <si>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</si>
  <si>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</si>
  <si>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</si>
  <si>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</si>
  <si>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</si>
  <si>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</si>
  <si>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</si>
  <si>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</si>
  <si>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</si>
  <si>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</si>
  <si>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</si>
  <si>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</si>
  <si>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</si>
  <si>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</si>
  <si>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</si>
  <si>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</si>
  <si>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</si>
  <si>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</si>
  <si>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</si>
  <si>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</si>
  <si>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</si>
  <si>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</si>
  <si>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</si>
  <si>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</si>
  <si>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</si>
  <si>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</si>
  <si>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</si>
  <si>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</si>
  <si>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</si>
  <si>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</si>
  <si>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</si>
  <si>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</si>
  <si>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</si>
  <si>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</si>
  <si>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</si>
  <si>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</si>
  <si>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</si>
  <si>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</si>
  <si>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</si>
  <si>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</si>
  <si>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</si>
  <si>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</si>
  <si>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</si>
  <si>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</si>
  <si>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</si>
  <si>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</si>
  <si>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</si>
  <si>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</si>
  <si>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</si>
  <si>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</si>
  <si>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</si>
  <si>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</si>
  <si>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</si>
  <si>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</si>
  <si>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</si>
  <si>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</si>
  <si>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</si>
  <si>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</si>
  <si>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</si>
  <si>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</si>
  <si>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</si>
  <si>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</si>
  <si>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</si>
  <si>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</si>
  <si>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</si>
  <si>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</si>
  <si>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</si>
  <si>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</si>
  <si>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</si>
  <si>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</si>
  <si>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</si>
  <si>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</si>
  <si>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</si>
  <si>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</si>
  <si>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</si>
  <si>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</si>
  <si>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</si>
  <si>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</si>
  <si>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</si>
  <si>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</si>
  <si>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</si>
  <si>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</si>
  <si>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</si>
  <si>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</si>
  <si>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</si>
  <si>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</si>
  <si>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</si>
  <si>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</si>
  <si>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</si>
  <si>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</si>
  <si>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</si>
  <si>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</si>
  <si>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</si>
  <si>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</si>
  <si>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</si>
  <si>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</si>
  <si>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</si>
  <si>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</si>
  <si>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</si>
  <si>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</si>
  <si>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</si>
  <si>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</si>
  <si>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</si>
  <si>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</si>
  <si>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</si>
  <si>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</si>
  <si>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</si>
  <si>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</si>
  <si>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</si>
  <si>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</si>
  <si>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</si>
  <si>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</si>
  <si>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</si>
  <si>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</si>
  <si>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</si>
  <si>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</si>
  <si>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</si>
  <si>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</si>
  <si>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</si>
  <si>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</si>
  <si>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</si>
  <si>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</si>
  <si>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</si>
  <si>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</si>
  <si>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</si>
  <si>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</si>
  <si>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</si>
  <si>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</si>
  <si>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</si>
  <si>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</si>
  <si>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</si>
  <si>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</si>
  <si>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</si>
  <si>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</si>
  <si>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</si>
  <si>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</si>
  <si>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</si>
  <si>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</si>
  <si>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</si>
  <si>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</si>
  <si>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</si>
  <si>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</si>
  <si>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</si>
  <si>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</si>
  <si>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</si>
  <si>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</si>
  <si>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</si>
  <si>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</si>
  <si>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</si>
  <si>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</si>
  <si>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</si>
  <si>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</si>
  <si>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</si>
  <si>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</si>
  <si>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</si>
  <si>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</si>
  <si>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</si>
  <si>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</si>
  <si>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</si>
  <si>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</si>
  <si>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</si>
  <si>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</si>
  <si>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</si>
  <si>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</si>
  <si>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</si>
  <si>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</si>
  <si>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</si>
  <si>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</si>
  <si>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</si>
  <si>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</si>
  <si>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</si>
  <si>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</si>
  <si>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</si>
  <si>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</si>
  <si>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</si>
  <si>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</si>
  <si>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</si>
  <si>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</si>
  <si>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</si>
  <si>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</si>
  <si>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</si>
  <si>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</si>
  <si>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</si>
  <si>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</si>
  <si>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</si>
  <si>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</si>
  <si>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</si>
  <si>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</si>
  <si>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</si>
  <si>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</si>
  <si>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</si>
  <si>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</si>
  <si>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</si>
  <si>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</si>
  <si>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</si>
  <si>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</si>
  <si>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</si>
  <si>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</si>
  <si>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</si>
  <si>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</si>
  <si>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</si>
  <si>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</si>
  <si>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</si>
  <si>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</si>
  <si>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</si>
  <si>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</si>
  <si>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</si>
  <si>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</si>
  <si>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</si>
  <si>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</si>
  <si>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</si>
  <si>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</si>
  <si>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</si>
  <si>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</si>
  <si>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</si>
  <si>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</si>
  <si>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</si>
  <si>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</si>
  <si>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</si>
  <si>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</si>
  <si>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</si>
  <si>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</si>
  <si>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</si>
  <si>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</si>
  <si>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</si>
  <si>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</si>
  <si>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</si>
  <si>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</si>
  <si>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</si>
  <si>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</si>
  <si>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</si>
  <si>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</si>
  <si>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</si>
  <si>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</si>
  <si>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</si>
  <si>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</si>
  <si>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</si>
  <si>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</si>
  <si>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</si>
  <si>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</si>
  <si>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</si>
  <si>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</si>
  <si>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</si>
  <si>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</si>
  <si>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</si>
  <si>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</si>
  <si>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</si>
  <si>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</si>
  <si>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</si>
  <si>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</si>
  <si>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</si>
  <si>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</si>
  <si>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</si>
  <si>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</si>
  <si>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</si>
  <si>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</si>
  <si>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</si>
  <si>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</si>
  <si>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</si>
  <si>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</si>
  <si>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</si>
  <si>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</si>
  <si>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</si>
  <si>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</si>
  <si>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</si>
  <si>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</si>
  <si>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</si>
  <si>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</si>
  <si>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</si>
  <si>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</si>
  <si>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</si>
  <si>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</si>
  <si>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</si>
  <si>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</si>
  <si>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</si>
  <si>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</si>
  <si>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</si>
  <si>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</si>
  <si>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</si>
  <si>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</si>
  <si>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</si>
  <si>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</si>
  <si>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</si>
  <si>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</si>
  <si>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</si>
  <si>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</si>
  <si>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</si>
  <si>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</si>
  <si>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</si>
  <si>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</si>
  <si>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</si>
  <si>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</si>
  <si>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</si>
  <si>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</si>
  <si>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</si>
  <si>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</si>
  <si>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</si>
  <si>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</si>
  <si>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</si>
  <si>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</si>
  <si>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</si>
  <si>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</si>
  <si>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</si>
  <si>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</si>
  <si>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</si>
  <si>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</si>
  <si>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</si>
  <si>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</si>
  <si>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</si>
  <si>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</si>
  <si>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</si>
  <si>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</si>
  <si>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</si>
  <si>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</si>
  <si>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</si>
  <si>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</si>
  <si>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</si>
  <si>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</si>
  <si>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</si>
  <si>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</si>
  <si>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</si>
  <si>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</si>
  <si>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</si>
  <si>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</si>
  <si>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</si>
  <si>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</si>
  <si>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</si>
  <si>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</si>
  <si>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</si>
  <si>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</si>
  <si>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</si>
  <si>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</si>
  <si>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</si>
  <si>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</si>
  <si>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</si>
  <si>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</si>
  <si>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</si>
  <si>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</si>
  <si>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</si>
  <si>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</si>
  <si>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</si>
  <si>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</si>
  <si>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</si>
  <si>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</si>
  <si>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</si>
  <si>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</si>
  <si>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</si>
  <si>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</si>
  <si>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</si>
  <si>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</si>
  <si>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</si>
  <si>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</si>
  <si>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</si>
  <si>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</si>
  <si>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</si>
  <si>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</si>
  <si>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</si>
  <si>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</si>
  <si>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</si>
  <si>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</si>
  <si>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</si>
  <si>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</si>
  <si>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</si>
  <si>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</si>
  <si>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</si>
  <si>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</si>
  <si>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</si>
  <si>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</si>
  <si>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</si>
  <si>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</si>
  <si>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</si>
  <si>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</si>
  <si>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</si>
  <si>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</si>
  <si>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</si>
  <si>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</si>
  <si>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</si>
  <si>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</si>
  <si>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</si>
  <si>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</si>
  <si>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</si>
  <si>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</si>
  <si>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</si>
  <si>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</si>
  <si>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</si>
  <si>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</si>
  <si>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</si>
  <si>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</si>
  <si>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</si>
  <si>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</si>
  <si>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</si>
  <si>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</si>
  <si>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</si>
  <si>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</si>
  <si>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</si>
  <si>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</si>
  <si>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</si>
  <si>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</si>
  <si>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</si>
  <si>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</si>
  <si>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</si>
  <si>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</si>
  <si>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</si>
  <si>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</si>
  <si>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</si>
  <si>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</si>
  <si>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</si>
  <si>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</si>
  <si>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</si>
  <si>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</si>
  <si>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</si>
  <si>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</si>
  <si>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</si>
  <si>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</si>
  <si>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</si>
  <si>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</si>
  <si>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</si>
  <si>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</si>
  <si>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</si>
  <si>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</si>
  <si>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</si>
  <si>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</si>
  <si>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</si>
  <si>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</si>
  <si>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</si>
  <si>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</si>
  <si>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</si>
  <si>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</si>
  <si>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</si>
  <si>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</si>
  <si>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</si>
  <si>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</si>
  <si>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</si>
  <si>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</si>
  <si>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</si>
  <si>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</si>
  <si>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</si>
  <si>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</si>
  <si>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</si>
  <si>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</si>
  <si>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</si>
  <si>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</si>
  <si>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</si>
  <si>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</si>
  <si>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</si>
  <si>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</si>
  <si>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</si>
  <si>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</si>
  <si>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</si>
  <si>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</si>
  <si>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</si>
  <si>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</si>
  <si>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</si>
  <si>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</si>
  <si>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</si>
  <si>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</si>
  <si>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</si>
  <si>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</si>
  <si>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</si>
  <si>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</si>
  <si>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</si>
  <si>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</si>
  <si>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</si>
  <si>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</si>
  <si>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</si>
  <si>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</si>
  <si>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</si>
  <si>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</si>
  <si>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</si>
  <si>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</si>
  <si>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</si>
  <si>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</si>
  <si>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</si>
  <si>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</si>
  <si>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</si>
  <si>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</si>
  <si>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</si>
  <si>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</si>
  <si>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</si>
  <si>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</si>
  <si>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</si>
  <si>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</si>
  <si>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</si>
  <si>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</si>
  <si>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</si>
  <si>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</si>
  <si>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</si>
  <si>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</si>
  <si>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</si>
  <si>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</si>
  <si>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</si>
  <si>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</si>
  <si>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</si>
  <si>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</si>
  <si>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</si>
  <si>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</si>
  <si>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</si>
  <si>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</si>
  <si>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</si>
  <si>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</si>
  <si>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</si>
  <si>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</si>
  <si>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</si>
  <si>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</si>
  <si>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</si>
  <si>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</si>
  <si>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</si>
  <si>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</si>
  <si>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</si>
  <si>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</si>
  <si>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</si>
  <si>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</si>
  <si>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</si>
  <si>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</si>
  <si>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</si>
  <si>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</si>
  <si>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</si>
  <si>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</si>
  <si>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</si>
  <si>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</si>
  <si>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</si>
  <si>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</si>
  <si>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</si>
  <si>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</si>
  <si>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</si>
  <si>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</si>
  <si>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</si>
  <si>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</si>
  <si>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</si>
  <si>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</si>
  <si>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</si>
  <si>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</si>
  <si>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</si>
  <si>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</si>
  <si>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</si>
  <si>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</si>
  <si>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</si>
  <si>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</si>
  <si>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</si>
  <si>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</si>
  <si>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</si>
  <si>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</si>
  <si>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</si>
  <si>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</si>
  <si>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</si>
  <si>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</si>
  <si>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</si>
  <si>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</si>
  <si>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</si>
  <si>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</si>
  <si>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</si>
  <si>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</si>
  <si>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</si>
  <si>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</si>
  <si>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</si>
  <si>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</si>
  <si>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</si>
  <si>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</si>
  <si>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</si>
  <si>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</si>
  <si>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</si>
  <si>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</si>
  <si>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</si>
  <si>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</si>
  <si>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</si>
  <si>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</si>
  <si>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</si>
  <si>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</si>
  <si>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</si>
  <si>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</si>
  <si>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</si>
  <si>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</si>
  <si>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</si>
  <si>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</si>
  <si>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</si>
  <si>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</si>
  <si>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</si>
  <si>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</si>
  <si>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</si>
  <si>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</si>
  <si>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</si>
  <si>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</si>
  <si>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</si>
  <si>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</si>
  <si>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</si>
  <si>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</si>
  <si>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</si>
  <si>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</si>
  <si>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</si>
  <si>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</si>
  <si>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</si>
  <si>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</si>
  <si>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</si>
  <si>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</si>
  <si>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</si>
  <si>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</si>
  <si>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</si>
  <si>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</si>
  <si>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</si>
  <si>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</si>
  <si>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</si>
  <si>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</si>
  <si>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</si>
  <si>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</si>
  <si>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</si>
  <si>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</si>
  <si>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</si>
  <si>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</si>
  <si>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</si>
  <si>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</si>
  <si>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</si>
  <si>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</si>
  <si>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</si>
  <si>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</si>
  <si>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</si>
  <si>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</si>
  <si>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</si>
  <si>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</si>
  <si>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</si>
  <si>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</si>
  <si>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</si>
  <si>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</si>
  <si>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</si>
  <si>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</si>
  <si>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</si>
  <si>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</si>
  <si>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</si>
  <si>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</si>
  <si>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</si>
  <si>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</si>
  <si>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</si>
  <si>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</si>
  <si>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</si>
  <si>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</si>
  <si>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</si>
  <si>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</si>
  <si>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</si>
  <si>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</si>
  <si>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</si>
  <si>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</si>
  <si>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</si>
  <si>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</si>
  <si>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</si>
  <si>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</si>
  <si>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</si>
  <si>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</si>
  <si>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</si>
  <si>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</si>
  <si>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</si>
  <si>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</si>
  <si>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</si>
  <si>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</si>
  <si>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</si>
  <si>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</si>
  <si>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</si>
  <si>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</si>
  <si>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</si>
  <si>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</si>
  <si>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</si>
  <si>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</si>
  <si>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</si>
  <si>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</si>
  <si>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</si>
  <si>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</si>
  <si>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</si>
  <si>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</si>
  <si>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</si>
  <si>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</si>
  <si>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</si>
  <si>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</si>
  <si>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</si>
  <si>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</si>
  <si>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</si>
  <si>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</si>
  <si>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</si>
  <si>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</si>
  <si>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</si>
  <si>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</si>
  <si>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</si>
  <si>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</si>
  <si>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</si>
  <si>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</si>
  <si>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</si>
  <si>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</si>
  <si>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</si>
  <si>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</si>
  <si>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</si>
  <si>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</si>
  <si>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</si>
  <si>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</si>
  <si>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</si>
  <si>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</si>
  <si>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</si>
  <si>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</si>
  <si>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</si>
  <si>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</si>
  <si>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</si>
  <si>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</si>
  <si>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</si>
  <si>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</si>
  <si>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</si>
  <si>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</si>
  <si>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</si>
  <si>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</si>
  <si>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</si>
  <si>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</si>
  <si>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</si>
  <si>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</si>
  <si>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</si>
  <si>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</si>
  <si>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</si>
  <si>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</si>
  <si>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</si>
  <si>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</si>
  <si>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</si>
  <si>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</si>
  <si>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</si>
  <si>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</si>
  <si>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</si>
  <si>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</si>
  <si>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</si>
  <si>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</si>
  <si>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</si>
  <si>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</si>
  <si>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</si>
  <si>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</si>
  <si>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</si>
  <si>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</si>
  <si>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</si>
  <si>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</si>
  <si>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</si>
  <si>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</si>
  <si>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</si>
  <si>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</si>
  <si>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</si>
  <si>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</si>
  <si>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</si>
  <si>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</si>
  <si>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</si>
  <si>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</si>
  <si>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</si>
  <si>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</si>
  <si>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</si>
  <si>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</si>
  <si>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</si>
  <si>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</si>
  <si>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</si>
  <si>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</si>
  <si>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</si>
  <si>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</si>
  <si>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</si>
  <si>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</si>
  <si>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</si>
  <si>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</si>
  <si>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</si>
  <si>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</si>
  <si>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</si>
  <si>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</si>
  <si>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</si>
  <si>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</si>
  <si>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</si>
  <si>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</si>
  <si>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</si>
  <si>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</si>
  <si>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</si>
  <si>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</si>
  <si>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</si>
  <si>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</si>
  <si>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</si>
  <si>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</si>
  <si>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</si>
  <si>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</si>
  <si>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</si>
  <si>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</si>
  <si>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</si>
  <si>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</si>
  <si>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</si>
  <si>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</si>
  <si>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</si>
  <si>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</si>
  <si>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</si>
  <si>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</si>
  <si>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</si>
  <si>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</si>
  <si>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</si>
  <si>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</si>
  <si>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</si>
  <si>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</si>
  <si>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</si>
  <si>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</si>
  <si>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</si>
  <si>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</si>
  <si>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</si>
  <si>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</si>
  <si>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</si>
  <si>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</si>
  <si>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</si>
  <si>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</si>
  <si>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</si>
  <si>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</si>
  <si>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</si>
  <si>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</si>
  <si>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</si>
  <si>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</si>
  <si>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</si>
  <si>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</si>
  <si>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</si>
  <si>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</si>
  <si>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</si>
  <si>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</si>
  <si>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</si>
  <si>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</si>
  <si>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</si>
  <si>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</si>
  <si>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</si>
  <si>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</si>
  <si>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</si>
  <si>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</si>
  <si>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</si>
  <si>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</si>
  <si>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</si>
  <si>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</si>
  <si>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</si>
  <si>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</si>
  <si>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</si>
  <si>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</si>
  <si>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</si>
  <si>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</si>
  <si>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</si>
  <si>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</si>
  <si>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</si>
  <si>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</si>
  <si>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</si>
  <si>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</si>
  <si>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</si>
  <si>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</si>
  <si>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</si>
  <si>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</si>
  <si>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</si>
  <si>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</si>
  <si>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</si>
  <si>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</si>
  <si>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</si>
  <si>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</si>
  <si>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</si>
  <si>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</si>
  <si>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</si>
  <si>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</si>
  <si>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</si>
  <si>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</si>
  <si>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</si>
  <si>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</si>
  <si>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</si>
  <si>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</si>
  <si>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</si>
  <si>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</si>
  <si>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</si>
  <si>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</si>
  <si>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</si>
  <si>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</si>
  <si>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</si>
  <si>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</si>
  <si>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</si>
  <si>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</si>
  <si>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</si>
  <si>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</si>
  <si>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</si>
  <si>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</si>
  <si>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</si>
  <si>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</si>
  <si>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</si>
  <si>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</si>
  <si>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</si>
  <si>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</si>
  <si>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</si>
  <si>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</si>
  <si>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</si>
  <si>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</si>
  <si>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</si>
  <si>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</si>
  <si>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</si>
  <si>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</si>
  <si>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</si>
  <si>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</si>
  <si>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</si>
  <si>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</si>
  <si>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</si>
  <si>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</si>
  <si>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</si>
  <si>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</si>
  <si>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</si>
  <si>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</si>
  <si>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</si>
  <si>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</si>
  <si>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</si>
  <si>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</si>
  <si>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</si>
  <si>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</si>
  <si>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</si>
  <si>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</si>
  <si>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</si>
  <si>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</si>
  <si>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</si>
  <si>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</si>
  <si>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</si>
  <si>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</si>
  <si>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</si>
  <si>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</si>
  <si>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</si>
  <si>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</si>
  <si>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</si>
  <si>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</si>
  <si>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</si>
  <si>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</si>
  <si>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</si>
  <si>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</si>
  <si>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</si>
  <si>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</si>
  <si>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</si>
  <si>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</si>
  <si>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</si>
  <si>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</si>
  <si>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</si>
  <si>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</si>
  <si>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</si>
  <si>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</si>
  <si>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</si>
  <si>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</si>
  <si>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</si>
  <si>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</si>
  <si>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</si>
  <si>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</si>
  <si>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</si>
  <si>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</si>
  <si>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</si>
  <si>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</si>
  <si>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</si>
  <si>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</si>
  <si>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</si>
  <si>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</si>
  <si>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</si>
  <si>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</si>
  <si>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</si>
  <si>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</si>
  <si>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</si>
  <si>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</si>
  <si>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</si>
  <si>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</si>
  <si>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</si>
  <si>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</si>
  <si>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</si>
  <si>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</si>
  <si>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</si>
  <si>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</si>
  <si>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</si>
  <si>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</si>
  <si>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</si>
  <si>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</si>
  <si>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</si>
  <si>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</si>
  <si>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</si>
  <si>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</si>
  <si>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</si>
  <si>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</si>
  <si>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</si>
  <si>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</si>
  <si>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</si>
  <si>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</si>
  <si>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</si>
  <si>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</si>
  <si>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</si>
  <si>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</si>
  <si>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</si>
  <si>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</si>
  <si>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</si>
  <si>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</si>
  <si>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</si>
  <si>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</si>
  <si>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</si>
  <si>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</si>
  <si>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</si>
  <si>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</si>
  <si>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</si>
  <si>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</si>
  <si>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</si>
  <si>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</si>
  <si>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</si>
  <si>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</si>
  <si>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</si>
  <si>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</si>
  <si>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</si>
  <si>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</si>
  <si>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</si>
  <si>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</si>
  <si>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</si>
  <si>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</si>
  <si>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</si>
  <si>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</si>
  <si>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</si>
  <si>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</si>
  <si>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</si>
  <si>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</si>
  <si>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</si>
  <si>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</si>
  <si>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</si>
  <si>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</si>
  <si>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</si>
  <si>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</si>
  <si>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</si>
  <si>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</si>
  <si>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</si>
  <si>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</si>
  <si>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</si>
  <si>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</si>
  <si>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</si>
  <si>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</si>
  <si>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</si>
  <si>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</si>
  <si>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</si>
  <si>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</si>
  <si>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</si>
  <si>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</si>
  <si>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</si>
  <si>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</si>
  <si>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</si>
  <si>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</si>
  <si>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</si>
  <si>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</si>
  <si>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</si>
  <si>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</si>
  <si>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</si>
  <si>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</si>
  <si>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</si>
  <si>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</si>
  <si>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</si>
  <si>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</si>
  <si>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</si>
  <si>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</si>
  <si>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</si>
  <si>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</si>
  <si>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</si>
  <si>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</si>
  <si>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</si>
  <si>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</si>
  <si>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</si>
  <si>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</si>
  <si>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</si>
  <si>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</si>
  <si>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</si>
  <si>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</si>
  <si>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</si>
  <si>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</si>
  <si>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</si>
  <si>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</si>
  <si>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</si>
  <si>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</si>
  <si>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</si>
  <si>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</si>
  <si>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</si>
  <si>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</si>
  <si>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</si>
  <si>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</si>
  <si>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</si>
  <si>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</si>
  <si>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</si>
  <si>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</si>
  <si>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</si>
  <si>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</si>
  <si>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</si>
  <si>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</si>
  <si>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</si>
  <si>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</si>
  <si>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</si>
  <si>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</si>
  <si>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</si>
  <si>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</si>
  <si>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</si>
  <si>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</si>
  <si>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</si>
  <si>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</si>
  <si>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</si>
  <si>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</si>
  <si>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</si>
  <si>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</si>
  <si>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</si>
  <si>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</si>
  <si>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</si>
  <si>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</si>
  <si>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</si>
  <si>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</si>
  <si>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</si>
  <si>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</si>
  <si>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</si>
  <si>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</si>
  <si>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</si>
  <si>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</si>
  <si>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</si>
  <si>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</si>
  <si>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</si>
  <si>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</si>
  <si>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</si>
  <si>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</si>
  <si>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</si>
  <si>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</si>
  <si>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</si>
  <si>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</si>
  <si>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</si>
  <si>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</si>
  <si>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</si>
  <si>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</si>
  <si>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</si>
  <si>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</si>
  <si>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</si>
  <si>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</si>
  <si>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</si>
  <si>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</si>
  <si>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</si>
  <si>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</si>
  <si>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</si>
  <si>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</si>
  <si>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</si>
  <si>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</si>
  <si>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</si>
  <si>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</si>
  <si>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</si>
  <si>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</si>
  <si>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</si>
  <si>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</si>
  <si>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</si>
  <si>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</si>
  <si>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</si>
  <si>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</si>
  <si>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</si>
  <si>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</si>
  <si>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</si>
  <si>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</si>
  <si>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</si>
  <si>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</si>
  <si>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</si>
  <si>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</si>
  <si>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</si>
  <si>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</si>
  <si>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</si>
  <si>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</si>
  <si>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</si>
  <si>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</si>
  <si>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</si>
  <si>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</si>
  <si>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</si>
  <si>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</si>
  <si>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</si>
  <si>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</si>
  <si>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</si>
  <si>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</si>
  <si>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</si>
  <si>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</si>
  <si>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</si>
  <si>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</si>
  <si>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</si>
  <si>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</si>
  <si>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</si>
  <si>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</si>
  <si>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</si>
  <si>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</si>
  <si>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</si>
  <si>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</si>
  <si>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</si>
  <si>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</si>
  <si>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</si>
  <si>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</si>
  <si>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</si>
  <si>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</si>
  <si>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</si>
  <si>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</si>
  <si>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</si>
  <si>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</si>
  <si>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</si>
  <si>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</si>
  <si>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</si>
  <si>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</si>
  <si>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</si>
  <si>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</si>
  <si>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</si>
  <si>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</si>
  <si>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</si>
  <si>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</si>
  <si>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</si>
  <si>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</si>
  <si>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</si>
  <si>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</si>
  <si>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</si>
  <si>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</si>
  <si>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</si>
  <si>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</si>
  <si>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</si>
  <si>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</si>
  <si>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</si>
  <si>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</si>
  <si>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</si>
  <si>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</si>
  <si>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</si>
  <si>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</si>
  <si>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</si>
  <si>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</si>
  <si>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</si>
  <si>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</si>
  <si>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</si>
  <si>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</si>
  <si>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</si>
  <si>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</si>
  <si>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</si>
  <si>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</si>
  <si>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</si>
  <si>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</si>
  <si>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</si>
  <si>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</si>
  <si>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</si>
  <si>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</si>
  <si>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</si>
  <si>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</si>
  <si>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</si>
  <si>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</si>
  <si>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</si>
  <si>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</si>
  <si>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</si>
  <si>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</si>
  <si>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</si>
  <si>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</si>
  <si>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</si>
  <si>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</si>
  <si>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</si>
  <si>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</si>
  <si>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</si>
  <si>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</si>
  <si>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</si>
  <si>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</si>
  <si>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</si>
  <si>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</si>
  <si>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</si>
  <si>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</si>
  <si>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</si>
  <si>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</si>
  <si>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</si>
  <si>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</si>
  <si>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</si>
  <si>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</si>
  <si>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</si>
  <si>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</si>
  <si>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</si>
  <si>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</si>
  <si>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</si>
  <si>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</si>
  <si>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</si>
  <si>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</si>
  <si>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</si>
  <si>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</si>
  <si>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</si>
  <si>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</si>
  <si>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</si>
  <si>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</si>
  <si>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</si>
  <si>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</si>
  <si>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</si>
  <si>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</si>
  <si>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</si>
  <si>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</si>
  <si>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</si>
  <si>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</si>
  <si>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</si>
  <si>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</si>
  <si>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</si>
  <si>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</si>
  <si>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</si>
  <si>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</si>
  <si>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</si>
  <si>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</si>
  <si>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</si>
  <si>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</si>
  <si>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</si>
  <si>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</si>
  <si>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</si>
  <si>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</si>
  <si>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</si>
  <si>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</si>
  <si>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</si>
  <si>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</si>
  <si>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</si>
  <si>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</si>
  <si>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</si>
  <si>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</si>
  <si>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</si>
  <si>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</si>
  <si>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</si>
  <si>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</si>
  <si>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</si>
  <si>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</si>
  <si>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</si>
  <si>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</si>
  <si>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</si>
  <si>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</si>
  <si>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</si>
  <si>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</si>
  <si>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</si>
  <si>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</si>
  <si>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</si>
  <si>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</si>
  <si>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</si>
  <si>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</si>
  <si>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</si>
  <si>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</si>
  <si>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</si>
  <si>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</si>
  <si>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</si>
  <si>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</si>
  <si>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</si>
  <si>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</si>
  <si>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</si>
  <si>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</si>
  <si>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</si>
  <si>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</si>
  <si>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</si>
  <si>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</si>
  <si>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</si>
  <si>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</si>
  <si>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</si>
  <si>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</si>
  <si>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</si>
  <si>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</si>
  <si>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</si>
  <si>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</si>
  <si>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</si>
  <si>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</si>
  <si>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</si>
  <si>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</si>
  <si>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</si>
  <si>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</si>
  <si>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</si>
  <si>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</si>
  <si>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</si>
  <si>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</si>
  <si>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</si>
  <si>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</si>
  <si>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</si>
  <si>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</si>
  <si>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</si>
  <si>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</si>
  <si>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</si>
  <si>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</si>
  <si>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</si>
  <si>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</si>
  <si>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</si>
  <si>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</si>
  <si>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</si>
  <si>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</si>
  <si>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</si>
  <si>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</si>
  <si>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</si>
  <si>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</si>
  <si>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</si>
  <si>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</si>
  <si>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</si>
  <si>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</si>
  <si>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</si>
  <si>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</si>
  <si>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</si>
  <si>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</si>
  <si>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</si>
  <si>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</si>
  <si>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</si>
  <si>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</si>
  <si>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</si>
  <si>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</si>
  <si>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</si>
  <si>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</si>
  <si>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</si>
  <si>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</si>
  <si>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</si>
  <si>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</si>
  <si>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</si>
  <si>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</si>
  <si>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</si>
  <si>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</si>
  <si>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</si>
  <si>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</si>
  <si>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</si>
  <si>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</si>
  <si>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</si>
  <si>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</si>
  <si>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</si>
  <si>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</si>
  <si>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</si>
  <si>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</si>
  <si>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</si>
  <si>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</si>
  <si>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</si>
  <si>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</si>
  <si>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</si>
  <si>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</si>
  <si>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</si>
  <si>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</si>
  <si>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</si>
  <si>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</si>
  <si>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</si>
  <si>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</si>
  <si>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</si>
  <si>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</si>
  <si>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</si>
  <si>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</si>
  <si>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</si>
  <si>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</si>
  <si>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</si>
  <si>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</si>
  <si>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</si>
  <si>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</si>
  <si>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</si>
  <si>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</si>
  <si>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</si>
  <si>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</si>
  <si>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</si>
  <si>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</si>
  <si>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</si>
  <si>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</si>
  <si>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</si>
  <si>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</si>
  <si>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</si>
  <si>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</si>
  <si>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</si>
  <si>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</si>
  <si>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</si>
  <si>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</si>
  <si>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</si>
  <si>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</si>
  <si>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</si>
  <si>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</si>
  <si>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</si>
  <si>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</si>
  <si>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</si>
  <si>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</si>
  <si>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</si>
  <si>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</si>
  <si>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</si>
  <si>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</si>
  <si>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</si>
  <si>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</si>
  <si>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</si>
  <si>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</si>
  <si>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</si>
  <si>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</si>
  <si>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</si>
  <si>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</si>
  <si>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</si>
  <si>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</si>
  <si>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</si>
  <si>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</si>
  <si>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</si>
  <si>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</si>
  <si>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</si>
  <si>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</si>
  <si>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</si>
  <si>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</si>
  <si>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</si>
  <si>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</si>
  <si>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</si>
  <si>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</si>
  <si>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</si>
  <si>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</si>
  <si>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</si>
  <si>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</si>
  <si>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</si>
  <si>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</si>
  <si>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</si>
  <si>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</si>
  <si>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</si>
  <si>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</si>
  <si>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</si>
  <si>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</si>
  <si>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</si>
  <si>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</si>
  <si>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</si>
  <si>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</si>
  <si>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</si>
  <si>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</si>
  <si>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</si>
  <si>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</si>
  <si>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</si>
  <si>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</si>
  <si>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</si>
  <si>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</si>
  <si>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</si>
  <si>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</si>
  <si>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</si>
  <si>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</si>
  <si>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</si>
  <si>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</si>
  <si>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</si>
  <si>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</si>
  <si>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</si>
  <si>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</si>
  <si>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</si>
  <si>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</si>
  <si>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</si>
  <si>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</si>
  <si>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</si>
  <si>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</si>
  <si>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</si>
  <si>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</si>
  <si>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</si>
  <si>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</si>
  <si>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</si>
  <si>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</si>
  <si>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</si>
  <si>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</si>
  <si>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</si>
  <si>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</si>
  <si>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</si>
  <si>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</si>
  <si>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</si>
  <si>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</si>
  <si>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</si>
  <si>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</si>
  <si>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</si>
  <si>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</si>
  <si>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</si>
  <si>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</si>
  <si>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</si>
  <si>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</si>
  <si>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</si>
  <si>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</si>
  <si>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</si>
  <si>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</si>
  <si>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</si>
  <si>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</si>
  <si>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</si>
  <si>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</si>
  <si>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</si>
  <si>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</si>
  <si>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</si>
  <si>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</si>
  <si>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</si>
  <si>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</si>
  <si>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</si>
  <si>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</si>
  <si>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</si>
  <si>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</si>
  <si>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</si>
  <si>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</si>
  <si>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</si>
  <si>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</si>
  <si>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</si>
  <si>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</si>
  <si>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</si>
  <si>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</si>
  <si>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</si>
  <si>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</si>
  <si>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</si>
  <si>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</si>
  <si>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</si>
  <si>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</si>
  <si>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</si>
  <si>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</si>
  <si>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</si>
  <si>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</si>
  <si>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</si>
  <si>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</si>
  <si>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</si>
  <si>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</si>
  <si>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</si>
  <si>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</si>
  <si>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</si>
  <si>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</si>
  <si>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</si>
  <si>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</si>
  <si>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</si>
  <si>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</si>
  <si>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</si>
  <si>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</si>
  <si>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</si>
  <si>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</si>
  <si>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</si>
  <si>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</si>
  <si>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</si>
  <si>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</si>
  <si>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</si>
  <si>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</si>
  <si>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</si>
  <si>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</si>
  <si>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</si>
  <si>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</si>
  <si>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</si>
  <si>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</si>
  <si>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</si>
  <si>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</si>
  <si>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</si>
  <si>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</si>
  <si>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</si>
  <si>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</si>
  <si>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</si>
  <si>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</si>
  <si>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</si>
  <si>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</si>
  <si>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</si>
  <si>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</si>
  <si>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</si>
  <si>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</si>
  <si>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</si>
  <si>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</si>
  <si>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</si>
  <si>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</si>
  <si>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</si>
  <si>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</si>
  <si>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</si>
  <si>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</si>
  <si>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</si>
  <si>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</si>
  <si>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</si>
  <si>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</si>
  <si>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</si>
  <si>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</si>
  <si>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</si>
  <si>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</si>
  <si>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</si>
  <si>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</si>
  <si>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</si>
  <si>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</si>
  <si>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</si>
  <si>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</si>
  <si>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</si>
  <si>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</si>
  <si>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</si>
  <si>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</si>
  <si>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</si>
  <si>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</si>
  <si>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</si>
  <si>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</si>
  <si>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</si>
  <si>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</si>
  <si>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</si>
  <si>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</si>
  <si>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</si>
  <si>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</si>
  <si>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</si>
  <si>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</si>
  <si>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</si>
  <si>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</si>
  <si>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</si>
  <si>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</si>
  <si>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</si>
  <si>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</si>
  <si>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</si>
  <si>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</si>
  <si>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</si>
  <si>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</si>
  <si>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</si>
  <si>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</si>
  <si>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</si>
  <si>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</si>
  <si>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</si>
  <si>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</si>
  <si>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</si>
  <si>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</si>
  <si>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</si>
  <si>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</si>
  <si>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</si>
  <si>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</si>
  <si>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</si>
  <si>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</si>
  <si>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</si>
  <si>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</si>
  <si>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</si>
  <si>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</si>
  <si>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</si>
  <si>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</si>
  <si>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</si>
  <si>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</si>
  <si>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</si>
  <si>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</si>
  <si>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</si>
  <si>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</si>
  <si>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</si>
  <si>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</si>
  <si>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</si>
  <si>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</si>
  <si>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</si>
  <si>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</si>
  <si>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</si>
  <si>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</si>
  <si>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</si>
  <si>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</si>
  <si>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</si>
  <si>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</si>
  <si>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</si>
  <si>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</si>
  <si>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</si>
  <si>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</si>
  <si>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</si>
  <si>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</si>
  <si>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</si>
  <si>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</si>
  <si>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</si>
  <si>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</si>
  <si>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</si>
  <si>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</si>
  <si>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</si>
  <si>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</si>
  <si>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</si>
  <si>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</si>
  <si>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</si>
  <si>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</si>
  <si>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</si>
  <si>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</si>
  <si>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</si>
  <si>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</si>
  <si>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</si>
  <si>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</si>
  <si>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</si>
  <si>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</si>
  <si>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</si>
  <si>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</si>
  <si>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</si>
  <si>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</si>
  <si>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</si>
  <si>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</si>
  <si>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</si>
  <si>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</si>
  <si>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</si>
  <si>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</si>
  <si>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</si>
  <si>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</si>
  <si>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</si>
  <si>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</si>
  <si>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</si>
  <si>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</si>
  <si>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</si>
  <si>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</si>
  <si>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</si>
  <si>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</si>
  <si>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</si>
  <si>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</si>
  <si>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</si>
  <si>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</si>
  <si>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</si>
  <si>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</si>
  <si>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</si>
  <si>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</si>
  <si>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</si>
  <si>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</si>
  <si>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</si>
  <si>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</si>
  <si>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</si>
  <si>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</si>
  <si>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</si>
  <si>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</si>
  <si>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</si>
  <si>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</si>
  <si>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</si>
  <si>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</si>
  <si>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</si>
  <si>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</si>
  <si>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</si>
  <si>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</si>
  <si>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</si>
  <si>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</si>
  <si>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</si>
  <si>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</si>
  <si>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</si>
  <si>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</si>
  <si>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</si>
  <si>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</si>
  <si>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</si>
  <si>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</si>
  <si>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</si>
  <si>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</si>
  <si>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</si>
  <si>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</si>
  <si>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</si>
  <si>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</si>
  <si>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</si>
  <si>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</si>
  <si>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</si>
  <si>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</si>
  <si>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</si>
  <si>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</si>
  <si>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</si>
  <si>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</si>
  <si>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</si>
  <si>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</si>
  <si>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</si>
  <si>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</si>
  <si>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</si>
  <si>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</si>
  <si>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</si>
  <si>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</si>
  <si>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</si>
  <si>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</si>
  <si>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</si>
  <si>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</si>
  <si>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</si>
  <si>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</si>
  <si>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</si>
  <si>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</si>
  <si>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</si>
  <si>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</si>
  <si>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</si>
  <si>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</si>
  <si>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</si>
  <si>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</si>
  <si>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</si>
  <si>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</si>
  <si>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</si>
  <si>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</si>
  <si>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</si>
  <si>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</si>
  <si>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</si>
  <si>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</si>
  <si>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</si>
  <si>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</si>
  <si>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</si>
  <si>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</si>
  <si>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</si>
  <si>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</si>
  <si>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</si>
  <si>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</si>
  <si>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</si>
  <si>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</si>
  <si>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</si>
  <si>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</si>
  <si>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</si>
  <si>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</si>
  <si>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</si>
  <si>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</si>
  <si>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</si>
  <si>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</si>
  <si>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</si>
  <si>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</si>
  <si>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</si>
  <si>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</si>
  <si>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</si>
  <si>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</si>
  <si>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</si>
  <si>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</si>
  <si>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</si>
  <si>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</si>
  <si>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</si>
  <si>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</si>
  <si>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</si>
  <si>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</si>
  <si>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</si>
  <si>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</si>
  <si>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</si>
  <si>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</si>
  <si>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</si>
  <si>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</si>
  <si>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Ginoli &amp; Company Ltd</t>
  </si>
  <si>
    <t>McDonough, Hancock</t>
  </si>
  <si>
    <t>Michael P Remmele</t>
  </si>
  <si>
    <t>7625 N. University Street, Suite A</t>
  </si>
  <si>
    <t>130 S. Lafayette Street, Suite 200</t>
  </si>
  <si>
    <t>Peoria</t>
  </si>
  <si>
    <t>61614-8303</t>
  </si>
  <si>
    <t>IL</t>
  </si>
  <si>
    <t>Macomb</t>
  </si>
  <si>
    <t>309-671-2350</t>
  </si>
  <si>
    <t>309-671-5459</t>
  </si>
  <si>
    <t>dmessersmith@roe26.net</t>
  </si>
  <si>
    <t>066-005055</t>
  </si>
  <si>
    <t>mremmele@ginolicpa.com</t>
  </si>
  <si>
    <t>Dave Messersmith</t>
  </si>
  <si>
    <t>309-837-4821</t>
  </si>
  <si>
    <t>309-837-2887</t>
  </si>
  <si>
    <t>Adverse due to the regulatory basis of accounting.</t>
  </si>
  <si>
    <t>None</t>
  </si>
  <si>
    <t>X</t>
  </si>
  <si>
    <t>Perkins Grant</t>
  </si>
  <si>
    <t>STEP/DORS Grants</t>
  </si>
  <si>
    <t>CTE - Perkins - page 13, line 220, column 1</t>
  </si>
  <si>
    <t>Other Resticted Revenue from State Sources - page 12, line 168, column 1</t>
  </si>
  <si>
    <t>2018-001</t>
  </si>
  <si>
    <t>The System does not have sufficient internal</t>
  </si>
  <si>
    <t>control over the financial reporting process.</t>
  </si>
  <si>
    <t>Resolved - No repeat</t>
  </si>
  <si>
    <t>Western Area Career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</si>
</sst>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9" fillId="0" borderId="0" applyFont="0" applyFill="0" applyBorder="0" applyAlignment="0" applyProtection="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181" fontId="57" fillId="0" borderId="0" xfId="19" applyNumberFormat="1"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225135</xdr:colOff>
          <xdr:row>2</xdr:row>
          <xdr:rowOff>147206</xdr:rowOff>
        </xdr:from>
        <xdr:to>
          <xdr:col>1</xdr:col>
          <xdr:colOff>1139535</xdr:colOff>
          <xdr:row>7</xdr:row>
          <xdr:rowOff>20783</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c r="C5" s="26" t="s">
        <v>910</v>
      </c>
      <c r="D5" s="84"/>
      <c r="E5" s="84"/>
      <c r="H5" s="38"/>
      <c r="I5" s="2027" t="s">
        <v>680</v>
      </c>
      <c r="J5" s="1972"/>
      <c r="K5" s="1972"/>
      <c r="L5" s="1972"/>
      <c r="M5" s="1972"/>
      <c r="N5" s="1972"/>
      <c r="O5" s="1972"/>
      <c r="P5" s="1972"/>
      <c r="Q5" s="1972"/>
      <c r="R5" s="1972"/>
      <c r="S5" s="1972"/>
    </row>
    <row r="6" spans="1:28" ht="14.1" customHeight="1" x14ac:dyDescent="0.2">
      <c r="B6" s="104" t="s">
        <v>2065</v>
      </c>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2065</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26000000046</v>
      </c>
      <c r="B13" s="1989"/>
      <c r="C13" s="1989"/>
      <c r="D13" s="1989"/>
      <c r="E13" s="1989"/>
      <c r="F13" s="1989"/>
      <c r="G13" s="1989"/>
      <c r="H13" s="1990"/>
      <c r="I13" s="31"/>
      <c r="J13" s="30"/>
      <c r="K13" s="28"/>
      <c r="L13" s="30"/>
      <c r="M13" s="30"/>
      <c r="N13" s="30"/>
      <c r="O13" s="30"/>
      <c r="P13" s="30"/>
      <c r="Q13" s="30"/>
      <c r="R13" s="30"/>
      <c r="S13" s="30"/>
      <c r="T13" s="1993" t="s">
        <v>2066</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2067</v>
      </c>
      <c r="B15" s="1991"/>
      <c r="C15" s="1991"/>
      <c r="D15" s="1991"/>
      <c r="E15" s="1991"/>
      <c r="F15" s="1991"/>
      <c r="G15" s="1991"/>
      <c r="H15" s="1992"/>
      <c r="T15" s="1954" t="s">
        <v>2068</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2094</v>
      </c>
      <c r="B17" s="2016"/>
      <c r="C17" s="2016"/>
      <c r="D17" s="2016"/>
      <c r="E17" s="2016"/>
      <c r="F17" s="2016"/>
      <c r="G17" s="2016"/>
      <c r="H17" s="2017"/>
      <c r="T17" s="2003" t="s">
        <v>2069</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2070</v>
      </c>
      <c r="B19" s="1987"/>
      <c r="C19" s="1987"/>
      <c r="D19" s="1987"/>
      <c r="E19" s="1987"/>
      <c r="F19" s="1987"/>
      <c r="G19" s="1987"/>
      <c r="H19" s="1985"/>
      <c r="I19" s="30"/>
      <c r="J19" s="99"/>
      <c r="K19" s="40"/>
      <c r="L19" s="38"/>
      <c r="M19" s="112" t="s">
        <v>315</v>
      </c>
      <c r="P19" s="27"/>
      <c r="Q19" s="27"/>
      <c r="R19" s="27"/>
      <c r="S19" s="31"/>
      <c r="T19" s="1986" t="s">
        <v>2071</v>
      </c>
      <c r="U19" s="1984"/>
      <c r="V19" s="1984"/>
      <c r="W19" s="1985"/>
      <c r="X19" s="2001" t="s">
        <v>2073</v>
      </c>
      <c r="Y19" s="2002"/>
      <c r="Z19" s="1999" t="s">
        <v>2072</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2074</v>
      </c>
      <c r="B21" s="1984"/>
      <c r="C21" s="1984"/>
      <c r="D21" s="1984"/>
      <c r="E21" s="1984"/>
      <c r="F21" s="1984"/>
      <c r="G21" s="1984"/>
      <c r="H21" s="1985"/>
      <c r="I21" s="2009" t="s">
        <v>678</v>
      </c>
      <c r="J21" s="1972"/>
      <c r="K21" s="1972"/>
      <c r="L21" s="1972"/>
      <c r="M21" s="1972"/>
      <c r="N21" s="1972"/>
      <c r="O21" s="1972"/>
      <c r="P21" s="1972"/>
      <c r="Q21" s="1972"/>
      <c r="R21" s="1972"/>
      <c r="S21" s="1973"/>
      <c r="T21" s="1951" t="s">
        <v>2075</v>
      </c>
      <c r="U21" s="1952"/>
      <c r="V21" s="1952"/>
      <c r="W21" s="1952"/>
      <c r="X21" s="1965" t="s">
        <v>2076</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t="s">
        <v>2077</v>
      </c>
      <c r="B23" s="2007"/>
      <c r="C23" s="2007"/>
      <c r="D23" s="2007"/>
      <c r="E23" s="2007"/>
      <c r="F23" s="2007"/>
      <c r="G23" s="2007"/>
      <c r="H23" s="2008"/>
      <c r="T23" s="1946" t="s">
        <v>2078</v>
      </c>
      <c r="U23" s="1947"/>
      <c r="V23" s="1947"/>
      <c r="W23" s="1947"/>
      <c r="X23" s="1962">
        <v>44530</v>
      </c>
      <c r="Y23" s="1963"/>
      <c r="Z23" s="1963"/>
      <c r="AA23" s="1964"/>
    </row>
    <row r="24" spans="1:27" ht="14.1" customHeight="1" x14ac:dyDescent="0.2">
      <c r="A24" s="88" t="s">
        <v>677</v>
      </c>
      <c r="B24" s="49"/>
      <c r="C24" s="49"/>
      <c r="D24" s="49"/>
      <c r="E24" s="49"/>
      <c r="F24" s="49"/>
      <c r="G24" s="49"/>
      <c r="H24" s="61"/>
      <c r="J24" s="2048" t="str">
        <f>IF(B5="x",IF(AUDITCHECK!D29="AFR form Incomplete.","",IF(AUDITCHECK!D29="Deficit reduction plan is required.","School District must complete a deficit reduction plan in the 2019-2020 Budget",)),"")</f>
        <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v>61455</v>
      </c>
      <c r="B25" s="1984"/>
      <c r="C25" s="1984"/>
      <c r="D25" s="1984"/>
      <c r="E25" s="1984"/>
      <c r="F25" s="1984"/>
      <c r="G25" s="1984"/>
      <c r="H25" s="1985"/>
      <c r="I25" s="113"/>
      <c r="J25" s="2050"/>
      <c r="K25" s="2050"/>
      <c r="L25" s="2050"/>
      <c r="M25" s="2050"/>
      <c r="N25" s="2050"/>
      <c r="O25" s="2050"/>
      <c r="P25" s="2050"/>
      <c r="Q25" s="2050"/>
      <c r="R25" s="2050"/>
      <c r="S25" s="2051"/>
      <c r="T25" s="1943" t="s">
        <v>2079</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t="s">
        <v>2080</v>
      </c>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2077</v>
      </c>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2081</v>
      </c>
      <c r="B42" s="2033"/>
      <c r="C42" s="2034"/>
      <c r="D42" s="2047" t="s">
        <v>2082</v>
      </c>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7"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0"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t="s">
        <v>2083</v>
      </c>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2066</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J16" sqref="J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740851</v>
      </c>
      <c r="E16" s="356"/>
      <c r="F16" s="1733">
        <f>SUM('Acct Summary 7-8'!C17,'Acct Summary 7-8'!D17,'Acct Summary 7-8'!F17)</f>
        <v>772252</v>
      </c>
      <c r="G16" s="356"/>
      <c r="H16" s="1733">
        <f>SUM(D16-F16)</f>
        <v>-31401</v>
      </c>
      <c r="I16" s="222"/>
      <c r="J16" s="1733">
        <f>SUM('Acct Summary 7-8'!C81,'Acct Summary 7-8'!D81,'Acct Summary 7-8'!F81,'Acct Summary 7-8'!I81)</f>
        <v>554187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Western Area Career System</v>
      </c>
      <c r="E7" s="391"/>
      <c r="G7" s="252"/>
      <c r="H7" s="387"/>
      <c r="I7" s="387"/>
      <c r="J7" s="387"/>
      <c r="K7" s="387"/>
      <c r="L7" s="329"/>
      <c r="M7" s="329"/>
      <c r="N7" s="329"/>
      <c r="O7" s="329"/>
      <c r="P7" s="329"/>
    </row>
    <row r="8" spans="1:18" ht="12.75" x14ac:dyDescent="0.2">
      <c r="A8" s="329"/>
      <c r="B8" s="329"/>
      <c r="C8" s="389" t="s">
        <v>1125</v>
      </c>
      <c r="D8" s="392">
        <f>COVER!A13</f>
        <v>26000000046</v>
      </c>
      <c r="E8" s="393"/>
      <c r="G8" s="329"/>
      <c r="H8" s="329"/>
      <c r="I8" s="329"/>
      <c r="J8" s="329"/>
      <c r="K8" s="329"/>
      <c r="L8" s="329"/>
      <c r="M8" s="329"/>
      <c r="N8" s="329"/>
      <c r="O8" s="329"/>
      <c r="P8" s="329"/>
    </row>
    <row r="9" spans="1:18" ht="12.75" x14ac:dyDescent="0.2">
      <c r="A9" s="329"/>
      <c r="B9" s="329"/>
      <c r="C9" s="389" t="s">
        <v>713</v>
      </c>
      <c r="D9" s="394" t="str">
        <f>COVER!A15</f>
        <v>McDonough, 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554187</v>
      </c>
      <c r="I12" s="404"/>
      <c r="J12" s="404"/>
      <c r="K12" s="405">
        <f>TRUNC((H12/H13*100000),5)/100000</f>
        <v>0.74804110400000001</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740851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772252</v>
      </c>
      <c r="I17" s="404"/>
      <c r="J17" s="416"/>
      <c r="K17" s="405">
        <f>TRUNC((H17/H18*100000),5)/100000</f>
        <v>1.0423850408999999</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740851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15.289382499999999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554187</v>
      </c>
      <c r="I24" s="422"/>
      <c r="J24" s="422"/>
      <c r="K24" s="423">
        <f>TRUNC(((H24/H25*100000)/100000),2)</f>
        <v>258.33999999999997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2145.14444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1" activePane="bottomLeft" state="frozen"/>
      <selection pane="bottomLeft" activeCell="M23" sqref="M2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554187</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554187</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3770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3770</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554187</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3770</v>
      </c>
      <c r="N40" s="497"/>
    </row>
    <row r="41" spans="1:14" ht="13.5" customHeight="1" thickBot="1" x14ac:dyDescent="0.25">
      <c r="A41" s="1736" t="s">
        <v>655</v>
      </c>
      <c r="B41" s="1706"/>
      <c r="C41" s="1688">
        <f>(SUM(C34,C37,C38,C39))</f>
        <v>554187</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3770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35503</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482746</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222602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740851</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6" t="s">
        <v>1173</v>
      </c>
      <c r="B10" s="1709"/>
      <c r="C10" s="1688">
        <f>SUM(C8:C9)</f>
        <v>740851</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464245</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199669</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108338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772252</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772252</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-31401</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-31401</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585588</v>
      </c>
      <c r="D79" s="535"/>
      <c r="E79" s="535"/>
      <c r="F79" s="535"/>
      <c r="G79" s="535"/>
      <c r="H79" s="535"/>
      <c r="I79" s="535"/>
      <c r="J79" s="535"/>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554187</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-31401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-5.6661379642611608E-2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65" activePane="bottomLeft" state="frozen"/>
      <selection pane="bottomLeft" activeCell="C221" sqref="C22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134</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134</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35369</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35369</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35503</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474906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474906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7840</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482746</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482746</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222602</v>
      </c>
      <c r="D220" s="466"/>
      <c r="E220" s="468"/>
      <c r="F220" s="468"/>
      <c r="G220" s="466"/>
      <c r="H220" s="468"/>
      <c r="I220" s="468"/>
      <c r="J220" s="468"/>
      <c r="K220" s="468"/>
    </row>
    <row r="221" spans="1:11" ht="12.75" customHeight="1" thickBot="1" x14ac:dyDescent="0.25">
      <c r="A221" s="1723" t="s">
        <v>1085</v>
      </c>
      <c r="B221" s="1724"/>
      <c r="C221" s="1707">
        <f>SUM(C219:C220)</f>
        <v>222602</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222602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222602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740851</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pane="bottomLeft" activeCell="L82" sqref="L8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12845</v>
      </c>
      <c r="F13" s="466">
        <v>223894</v>
      </c>
      <c r="G13" s="466">
        <v>227506</v>
      </c>
      <c r="H13" s="466"/>
      <c r="I13" s="467"/>
      <c r="J13" s="467"/>
      <c r="K13" s="1671">
        <f t="shared" si="0"/>
        <v>464245</v>
      </c>
      <c r="L13" s="466">
        <v>342000</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12845</v>
      </c>
      <c r="F33" s="1670">
        <f t="shared" si="1"/>
        <v>223894</v>
      </c>
      <c r="G33" s="1670">
        <f t="shared" si="1"/>
        <v>227506</v>
      </c>
      <c r="H33" s="1670">
        <f t="shared" si="1"/>
        <v>0</v>
      </c>
      <c r="I33" s="1670">
        <f t="shared" si="1"/>
        <v>0</v>
      </c>
      <c r="J33" s="1670">
        <f t="shared" si="1"/>
        <v>0</v>
      </c>
      <c r="K33" s="1670">
        <f t="shared" si="1"/>
        <v>464245</v>
      </c>
      <c r="L33" s="1670">
        <f t="shared" si="1"/>
        <v>342000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v>853</v>
      </c>
      <c r="E37" s="466">
        <v>27529</v>
      </c>
      <c r="F37" s="466">
        <v>998</v>
      </c>
      <c r="G37" s="466"/>
      <c r="H37" s="466"/>
      <c r="I37" s="467"/>
      <c r="J37" s="467"/>
      <c r="K37" s="1671">
        <f t="shared" si="2"/>
        <v>29380</v>
      </c>
      <c r="L37" s="466">
        <v>35734</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853</v>
      </c>
      <c r="E42" s="1670">
        <f t="shared" si="3"/>
        <v>27529</v>
      </c>
      <c r="F42" s="1670">
        <f t="shared" si="3"/>
        <v>998</v>
      </c>
      <c r="G42" s="1670">
        <f t="shared" si="3"/>
        <v>0</v>
      </c>
      <c r="H42" s="1670">
        <f t="shared" si="3"/>
        <v>0</v>
      </c>
      <c r="I42" s="1670">
        <f t="shared" si="3"/>
        <v>0</v>
      </c>
      <c r="J42" s="1670">
        <f t="shared" si="3"/>
        <v>0</v>
      </c>
      <c r="K42" s="1670">
        <f t="shared" si="3"/>
        <v>29380</v>
      </c>
      <c r="L42" s="1670">
        <f t="shared" si="3"/>
        <v>35734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11632</v>
      </c>
      <c r="D44" s="481">
        <v>3032</v>
      </c>
      <c r="E44" s="481">
        <v>29753</v>
      </c>
      <c r="F44" s="481">
        <v>1694</v>
      </c>
      <c r="G44" s="481"/>
      <c r="H44" s="481"/>
      <c r="I44" s="467"/>
      <c r="J44" s="467"/>
      <c r="K44" s="1672">
        <f>SUM(C44:J44)</f>
        <v>46111</v>
      </c>
      <c r="L44" s="481">
        <v>48000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11632</v>
      </c>
      <c r="D47" s="1670">
        <f t="shared" ref="D47:K47" si="4">SUM(D44:D46)</f>
        <v>3032</v>
      </c>
      <c r="E47" s="1670">
        <f t="shared" si="4"/>
        <v>29753</v>
      </c>
      <c r="F47" s="1670">
        <f t="shared" si="4"/>
        <v>1694</v>
      </c>
      <c r="G47" s="1670">
        <f t="shared" si="4"/>
        <v>0</v>
      </c>
      <c r="H47" s="1670">
        <f t="shared" si="4"/>
        <v>0</v>
      </c>
      <c r="I47" s="1670">
        <f t="shared" si="4"/>
        <v>0</v>
      </c>
      <c r="J47" s="1670">
        <f t="shared" si="4"/>
        <v>0</v>
      </c>
      <c r="K47" s="1670">
        <f t="shared" si="4"/>
        <v>46111</v>
      </c>
      <c r="L47" s="1670">
        <f>SUM(L44:L46)</f>
        <v>48000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82350</v>
      </c>
      <c r="D50" s="466">
        <v>16089</v>
      </c>
      <c r="E50" s="466">
        <v>14513</v>
      </c>
      <c r="F50" s="466">
        <v>408</v>
      </c>
      <c r="G50" s="466"/>
      <c r="H50" s="466">
        <v>10818</v>
      </c>
      <c r="I50" s="467"/>
      <c r="J50" s="467"/>
      <c r="K50" s="1672">
        <f>SUM(C50:J50)</f>
        <v>124178</v>
      </c>
      <c r="L50" s="466">
        <v>108461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82350</v>
      </c>
      <c r="D53" s="1670">
        <f t="shared" ref="D53:L53" si="5">SUM(D49:D52)</f>
        <v>16089</v>
      </c>
      <c r="E53" s="1670">
        <f t="shared" si="5"/>
        <v>14513</v>
      </c>
      <c r="F53" s="1670">
        <f t="shared" si="5"/>
        <v>408</v>
      </c>
      <c r="G53" s="1670">
        <f t="shared" si="5"/>
        <v>0</v>
      </c>
      <c r="H53" s="1670">
        <f t="shared" si="5"/>
        <v>10818</v>
      </c>
      <c r="I53" s="1670">
        <f t="shared" si="5"/>
        <v>0</v>
      </c>
      <c r="J53" s="1670">
        <f t="shared" si="5"/>
        <v>0</v>
      </c>
      <c r="K53" s="1670">
        <f t="shared" si="5"/>
        <v>124178</v>
      </c>
      <c r="L53" s="1670">
        <f t="shared" si="5"/>
        <v>108461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0</v>
      </c>
      <c r="F65" s="1670">
        <f t="shared" si="8"/>
        <v>0</v>
      </c>
      <c r="G65" s="1670">
        <f t="shared" si="8"/>
        <v>0</v>
      </c>
      <c r="H65" s="1670">
        <f t="shared" si="8"/>
        <v>0</v>
      </c>
      <c r="I65" s="1670">
        <f t="shared" si="8"/>
        <v>0</v>
      </c>
      <c r="J65" s="1670">
        <f t="shared" si="8"/>
        <v>0</v>
      </c>
      <c r="K65" s="1670">
        <f t="shared" si="8"/>
        <v>0</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93982</v>
      </c>
      <c r="D74" s="1677">
        <f t="shared" ref="D74:K74" si="10">SUM(D42,D47,D53,D57,D65,D72,D73)</f>
        <v>19974</v>
      </c>
      <c r="E74" s="1677">
        <f t="shared" si="10"/>
        <v>71795</v>
      </c>
      <c r="F74" s="1677">
        <f t="shared" si="10"/>
        <v>3100</v>
      </c>
      <c r="G74" s="1677">
        <f t="shared" si="10"/>
        <v>0</v>
      </c>
      <c r="H74" s="1677">
        <f t="shared" si="10"/>
        <v>10818</v>
      </c>
      <c r="I74" s="1677">
        <f t="shared" si="10"/>
        <v>0</v>
      </c>
      <c r="J74" s="1677">
        <f t="shared" si="10"/>
        <v>0</v>
      </c>
      <c r="K74" s="1677">
        <f t="shared" si="10"/>
        <v>199669</v>
      </c>
      <c r="L74" s="1677">
        <f>SUM(L42,L47,L53,L57,L65,L72,L73)</f>
        <v>192195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108338</v>
      </c>
      <c r="F81" s="616"/>
      <c r="G81" s="616"/>
      <c r="H81" s="466"/>
      <c r="I81" s="477"/>
      <c r="J81" s="477"/>
      <c r="K81" s="1671">
        <f t="shared" si="11"/>
        <v>108338</v>
      </c>
      <c r="L81" s="466">
        <v>120930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108338</v>
      </c>
      <c r="F84" s="616"/>
      <c r="G84" s="616"/>
      <c r="H84" s="1670">
        <f>SUM(H78:H83)</f>
        <v>0</v>
      </c>
      <c r="I84" s="477"/>
      <c r="J84" s="477"/>
      <c r="K84" s="1670">
        <f>SUM(K78:K83)</f>
        <v>108338</v>
      </c>
      <c r="L84" s="1670">
        <f>SUM(L78:L83)</f>
        <v>120930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108338</v>
      </c>
      <c r="F102" s="616"/>
      <c r="G102" s="616"/>
      <c r="H102" s="1677">
        <f>SUM(H84,H92,H100,H101)</f>
        <v>0</v>
      </c>
      <c r="I102" s="477"/>
      <c r="J102" s="477"/>
      <c r="K102" s="1677">
        <f>SUM(K84,K92,K100,K101)</f>
        <v>108338</v>
      </c>
      <c r="L102" s="1677">
        <f>SUM(L84,L92,L100,L101)</f>
        <v>120930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93982</v>
      </c>
      <c r="D114" s="1670">
        <f t="shared" ref="D114:K114" si="13">SUM(D33,D74,D75,D102,D112,D113)</f>
        <v>19974</v>
      </c>
      <c r="E114" s="1670">
        <f t="shared" si="13"/>
        <v>192978</v>
      </c>
      <c r="F114" s="1670">
        <f t="shared" si="13"/>
        <v>226994</v>
      </c>
      <c r="G114" s="1670">
        <f t="shared" si="13"/>
        <v>227506</v>
      </c>
      <c r="H114" s="1670">
        <f>SUM(H33,H74,H75,H102,H112,H113)</f>
        <v>10818</v>
      </c>
      <c r="I114" s="1670">
        <f t="shared" si="13"/>
        <v>0</v>
      </c>
      <c r="J114" s="1670">
        <f t="shared" si="13"/>
        <v>0</v>
      </c>
      <c r="K114" s="1670">
        <f t="shared" si="13"/>
        <v>772252</v>
      </c>
      <c r="L114" s="1670">
        <f>SUM(L33,L74,L75,L102,L112,L113)</f>
        <v>655125</v>
      </c>
    </row>
    <row r="115" spans="1:14" ht="13.5" thickTop="1" x14ac:dyDescent="0.2">
      <c r="A115" s="2183" t="s">
        <v>996</v>
      </c>
      <c r="B115" s="2184"/>
      <c r="C115" s="618"/>
      <c r="D115" s="618"/>
      <c r="E115" s="618"/>
      <c r="F115" s="618"/>
      <c r="G115" s="618"/>
      <c r="H115" s="618"/>
      <c r="I115" s="618"/>
      <c r="J115" s="618"/>
      <c r="K115" s="1684">
        <f>'Revenues 9-14'!C268-'Expenditures 15-22'!K114</f>
        <v>-31401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6" t="s">
        <v>1178</v>
      </c>
      <c r="B152" s="2177"/>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3" t="s">
        <v>996</v>
      </c>
      <c r="B211" s="218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3" t="s">
        <v>996</v>
      </c>
      <c r="B296" s="218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9" t="s">
        <v>996</v>
      </c>
      <c r="B343" s="217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67"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H79" sqref="H7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0</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13" sqref="K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10983</v>
      </c>
      <c r="D12" s="844"/>
      <c r="E12" s="844"/>
      <c r="F12" s="1760">
        <f>(C12+D12)-E12</f>
        <v>10983</v>
      </c>
      <c r="G12" s="843">
        <v>10</v>
      </c>
      <c r="H12" s="765">
        <v>8525</v>
      </c>
      <c r="I12" s="765">
        <v>944</v>
      </c>
      <c r="J12" s="765"/>
      <c r="K12" s="1769">
        <f>(H12+I12)-J12</f>
        <v>9469</v>
      </c>
      <c r="L12" s="1769">
        <f>F12-K12</f>
        <v>1514</v>
      </c>
    </row>
    <row r="13" spans="1:14" ht="14.25" thickTop="1" thickBot="1" x14ac:dyDescent="0.25">
      <c r="A13" s="848" t="s">
        <v>1122</v>
      </c>
      <c r="B13" s="840">
        <v>252</v>
      </c>
      <c r="C13" s="844">
        <v>1694</v>
      </c>
      <c r="D13" s="844">
        <v>2598</v>
      </c>
      <c r="E13" s="844"/>
      <c r="F13" s="1760">
        <f>(C13+D13)-E13</f>
        <v>4292</v>
      </c>
      <c r="G13" s="843">
        <v>5</v>
      </c>
      <c r="H13" s="765">
        <v>1058</v>
      </c>
      <c r="I13" s="765">
        <v>978</v>
      </c>
      <c r="J13" s="765"/>
      <c r="K13" s="1769">
        <f>(H13+I13)-J13</f>
        <v>2036</v>
      </c>
      <c r="L13" s="1769">
        <f>F13-K13</f>
        <v>2256</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12677</v>
      </c>
      <c r="D16" s="1760">
        <f>SUM(D3,D5:D6,D8:D10,D12:D15)</f>
        <v>2598</v>
      </c>
      <c r="E16" s="1760">
        <f>SUM(E3,E5:E6,E8:E10,E12:E15)</f>
        <v>0</v>
      </c>
      <c r="F16" s="1760">
        <f>SUM(F3,F5:F6,F8:F10,F12:F15)</f>
        <v>15275</v>
      </c>
      <c r="G16" s="843"/>
      <c r="H16" s="1760">
        <f>SUM(H3,H6,H8:H10,H12:H14,)</f>
        <v>9583</v>
      </c>
      <c r="I16" s="1760">
        <f>SUM(I3,I6,I8:I10,I12:I14,)</f>
        <v>1922</v>
      </c>
      <c r="J16" s="1760">
        <f>SUM(J3,J6,J8:J10,J12:J14,)</f>
        <v>0</v>
      </c>
      <c r="K16" s="1760">
        <f>(H16+I16)-J16</f>
        <v>11505</v>
      </c>
      <c r="L16" s="1760">
        <f>F16-K16</f>
        <v>3770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1922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772252</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772252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108338</v>
      </c>
      <c r="G53" s="865"/>
    </row>
    <row r="54" spans="1:7" x14ac:dyDescent="0.2">
      <c r="A54" s="869" t="s">
        <v>459</v>
      </c>
      <c r="B54" s="869" t="s">
        <v>1476</v>
      </c>
      <c r="C54" s="889" t="s">
        <v>982</v>
      </c>
      <c r="D54" s="885" t="s">
        <v>1095</v>
      </c>
      <c r="E54" s="868"/>
      <c r="F54" s="1913">
        <f>'Expenditures 15-22'!G114</f>
        <v>227506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335844</v>
      </c>
      <c r="G76" s="865"/>
    </row>
    <row r="77" spans="1:8" s="893" customFormat="1" ht="12" customHeight="1" thickTop="1" thickBot="1" x14ac:dyDescent="0.25">
      <c r="A77" s="1779"/>
      <c r="B77" s="1776"/>
      <c r="C77" s="1772"/>
      <c r="D77" s="1777" t="s">
        <v>1899</v>
      </c>
      <c r="E77" s="1774"/>
      <c r="F77" s="1780">
        <f>(F14-F76)</f>
        <v>436408</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35369</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474906</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7840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222602</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0</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740717</v>
      </c>
    </row>
    <row r="175" spans="1:7" ht="12" customHeight="1" x14ac:dyDescent="0.2">
      <c r="A175" s="1770"/>
      <c r="B175" s="1784"/>
      <c r="C175" s="1785"/>
      <c r="D175" s="1786" t="s">
        <v>2055</v>
      </c>
      <c r="E175" s="1787"/>
      <c r="F175" s="1789">
        <f>'PCTC-OEPP 27-28'!F77-F174</f>
        <v>-304309</v>
      </c>
    </row>
    <row r="176" spans="1:7" ht="12" customHeight="1" x14ac:dyDescent="0.2">
      <c r="A176" s="1770"/>
      <c r="B176" s="1784"/>
      <c r="C176" s="1785"/>
      <c r="D176" s="1786" t="s">
        <v>1817</v>
      </c>
      <c r="E176" s="1787"/>
      <c r="F176" s="1789">
        <f>'Cap Outlay Deprec 26'!I18</f>
        <v>1922</v>
      </c>
    </row>
    <row r="177" spans="1:7" ht="12" customHeight="1" x14ac:dyDescent="0.2">
      <c r="A177" s="1770"/>
      <c r="B177" s="1784"/>
      <c r="C177" s="1785"/>
      <c r="D177" s="1786" t="s">
        <v>2056</v>
      </c>
      <c r="E177" s="1787"/>
      <c r="F177" s="1789">
        <f>F175+F176</f>
        <v>-302387</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A19" sqref="A19"/>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2084</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236739</v>
      </c>
      <c r="F19" s="1799"/>
      <c r="G19" s="1801">
        <f>'Expenditures 15-22'!K33-SUM('Expenditures 15-22'!G33,'Expenditures 15-22'!I33)+'Expenditures 15-22'!D229</f>
        <v>236739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29380</v>
      </c>
      <c r="F21" s="1802"/>
      <c r="G21" s="1805">
        <f>'Expenditures 15-22'!K42-SUM('Expenditures 15-22'!G42,'Expenditures 15-22'!I42)+'Expenditures 15-22'!K120-SUM('Expenditures 15-22'!G120,'Expenditures 15-22'!I120)+'Expenditures 15-22'!K180-SUM('Expenditures 15-22'!G180,'Expenditures 15-22'!I180)+'Expenditures 15-22'!D238</f>
        <v>29380</v>
      </c>
      <c r="H21" s="987"/>
      <c r="I21" s="162"/>
    </row>
    <row r="22" spans="1:9" s="668" customFormat="1" ht="12" customHeight="1" x14ac:dyDescent="0.2">
      <c r="A22" s="994" t="s">
        <v>564</v>
      </c>
      <c r="B22" s="995"/>
      <c r="C22" s="993">
        <v>2200</v>
      </c>
      <c r="D22" s="1802"/>
      <c r="E22" s="1804">
        <f>'Expenditures 15-22'!K47-SUM('Expenditures 15-22'!G47,'Expenditures 15-22'!I47)+'Expenditures 15-22'!D243</f>
        <v>46111</v>
      </c>
      <c r="F22" s="1802"/>
      <c r="G22" s="1805">
        <f>'Expenditures 15-22'!K47-SUM('Expenditures 15-22'!G47,'Expenditures 15-22'!I47)+'Expenditures 15-22'!D243</f>
        <v>46111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124178</v>
      </c>
      <c r="F23" s="1802"/>
      <c r="G23" s="1804">
        <f>'Expenditures 15-22'!K53-SUM('Expenditures 15-22'!G53,'Expenditures 15-22'!I53)+'Expenditures 15-22'!D257+'Expenditures 15-22'!K330-SUM('Expenditures 15-22'!G330,'Expenditures 15-22'!I330)</f>
        <v>124178</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0</v>
      </c>
      <c r="E41" s="1806">
        <f>SUM(E19:E40)</f>
        <v>436408</v>
      </c>
      <c r="F41" s="1806">
        <f>SUM(F19:F39)</f>
        <v>0</v>
      </c>
      <c r="G41" s="1806">
        <f>SUM(G19:G40)</f>
        <v>436408</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0</v>
      </c>
      <c r="F43" s="1807" t="s">
        <v>473</v>
      </c>
      <c r="G43" s="1808">
        <f>F41</f>
        <v>0</v>
      </c>
    </row>
    <row r="44" spans="1:7" ht="12" customHeight="1" x14ac:dyDescent="0.2">
      <c r="A44" s="987"/>
      <c r="B44" s="162"/>
      <c r="C44" s="1001"/>
      <c r="D44" s="1807" t="s">
        <v>474</v>
      </c>
      <c r="E44" s="1808">
        <f>E41</f>
        <v>436408</v>
      </c>
      <c r="F44" s="1807" t="s">
        <v>474</v>
      </c>
      <c r="G44" s="1808">
        <f>G41</f>
        <v>436408</v>
      </c>
    </row>
    <row r="45" spans="1:7" ht="12" customHeight="1" x14ac:dyDescent="0.2">
      <c r="A45" s="987"/>
      <c r="B45" s="162"/>
      <c r="C45" s="162"/>
      <c r="D45" s="1809" t="s">
        <v>1006</v>
      </c>
      <c r="E45" s="1810">
        <f>(E43/E44)</f>
        <v>0</v>
      </c>
      <c r="F45" s="1809" t="s">
        <v>1006</v>
      </c>
      <c r="G45" s="1810">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8" activePane="bottomLeft" state="frozen"/>
      <selection activeCell="A47" sqref="A47"/>
      <selection pane="bottomLeft" activeCell="A15" sqref="A1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Western Area Career System</v>
      </c>
      <c r="D6" s="2299"/>
      <c r="E6" s="2299"/>
      <c r="F6" s="1852"/>
    </row>
    <row r="7" spans="1:10" ht="11.25" customHeight="1" thickBot="1" x14ac:dyDescent="0.3">
      <c r="A7" s="1850"/>
      <c r="B7" s="1851"/>
      <c r="C7" s="2300">
        <f>COVER!A13</f>
        <v>26000000046</v>
      </c>
      <c r="D7" s="2300"/>
      <c r="E7" s="2300"/>
      <c r="F7" s="1852"/>
    </row>
    <row r="8" spans="1:10" ht="25.5" customHeight="1" thickBot="1" x14ac:dyDescent="0.25">
      <c r="A8" s="1893" t="s">
        <v>1907</v>
      </c>
      <c r="B8" s="1853" t="s">
        <v>2085</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Western Area Career System</v>
      </c>
      <c r="J6" s="2320"/>
      <c r="Q6" s="1664"/>
    </row>
    <row r="7" spans="1:17" x14ac:dyDescent="0.2">
      <c r="A7" s="2321" t="s">
        <v>869</v>
      </c>
      <c r="B7" s="2322"/>
      <c r="C7" s="2322"/>
      <c r="D7" s="2322"/>
      <c r="E7" s="2323"/>
      <c r="F7" s="1017"/>
      <c r="G7" s="1009"/>
      <c r="H7" s="1016" t="s">
        <v>372</v>
      </c>
      <c r="I7" s="2324">
        <f>COVER!A13</f>
        <v>26000000046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124178</v>
      </c>
      <c r="F12" s="1039"/>
      <c r="G12" s="1811">
        <f t="shared" ref="G12:G18" si="0">SUM(E12:F12)</f>
        <v>124178</v>
      </c>
      <c r="H12" s="1040">
        <v>108461</v>
      </c>
      <c r="I12" s="1039"/>
      <c r="J12" s="1811">
        <f t="shared" ref="J12:J18" si="1">SUM(H12:I12)</f>
        <v>108461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124178</v>
      </c>
      <c r="F19" s="1813">
        <f t="shared" si="2"/>
        <v>0</v>
      </c>
      <c r="G19" s="1813">
        <f t="shared" si="2"/>
        <v>124178</v>
      </c>
      <c r="H19" s="1813">
        <f t="shared" si="2"/>
        <v>108461</v>
      </c>
      <c r="I19" s="1813">
        <f t="shared" si="2"/>
        <v>0</v>
      </c>
      <c r="J19" s="1813">
        <f t="shared" si="2"/>
        <v>108461</v>
      </c>
    </row>
    <row r="20" spans="1:10" ht="13.5" thickTop="1" x14ac:dyDescent="0.2">
      <c r="A20" s="1035">
        <v>9</v>
      </c>
      <c r="B20" s="2331" t="s">
        <v>1979</v>
      </c>
      <c r="C20" s="2331"/>
      <c r="D20" s="2332"/>
      <c r="E20" s="1046"/>
      <c r="F20" s="1046"/>
      <c r="G20" s="1046"/>
      <c r="H20" s="1046"/>
      <c r="I20" s="1046"/>
      <c r="J20" s="1814">
        <f>IF(AND(G19&gt;0,J19&gt;0),(((J19-G19)/G19)),"Enter Budget Data")</f>
        <v>-0.12656831322778592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1"/>
  <sheetViews>
    <sheetView showGridLines="0" zoomScale="110" zoomScaleNormal="110" workbookViewId="0">
      <selection activeCell="B57" sqref="B57"/>
    </sheetView>
  </sheetViews>
  <sheetFormatPr defaultColWidth="9.140625" defaultRowHeight="12.75" x14ac:dyDescent="0.2"/>
  <cols>
    <col min="1" max="1" width="3" style="329" customWidth="1"/>
    <col min="2" max="2" width="46" style="329" customWidth="1"/>
    <col min="3" max="3" width="13.140625" style="329" customWidth="1"/>
    <col min="4" max="16384" width="9.140625" style="329"/>
  </cols>
  <sheetData>
    <row r="2" spans="1:3" x14ac:dyDescent="0.2">
      <c r="A2" s="389" t="s">
        <v>258</v>
      </c>
    </row>
    <row r="3" spans="1:3" x14ac:dyDescent="0.2">
      <c r="A3" s="329" t="s">
        <v>259</v>
      </c>
    </row>
    <row r="5" spans="1:3" x14ac:dyDescent="0.2">
      <c r="A5" s="1068">
        <v>1</v>
      </c>
      <c r="B5" s="329" t="s">
        <v>2088</v>
      </c>
    </row>
    <row r="6" spans="1:3" x14ac:dyDescent="0.2">
      <c r="A6" s="1068"/>
      <c r="B6" s="329" t="s">
        <v>2086</v>
      </c>
      <c r="C6" s="1942">
        <v>222602</v>
      </c>
    </row>
    <row r="7" spans="1:3" x14ac:dyDescent="0.2">
      <c r="A7" s="1068"/>
    </row>
    <row r="8" spans="1:3" x14ac:dyDescent="0.2">
      <c r="A8" s="1068"/>
    </row>
    <row r="9" spans="1:3" x14ac:dyDescent="0.2">
      <c r="A9" s="1068"/>
    </row>
    <row r="10" spans="1:3" x14ac:dyDescent="0.2">
      <c r="A10" s="1068">
        <v>2</v>
      </c>
      <c r="B10" s="329" t="s">
        <v>2089</v>
      </c>
    </row>
    <row r="11" spans="1:3" x14ac:dyDescent="0.2">
      <c r="A11" s="1068"/>
      <c r="B11" s="329" t="s">
        <v>2087</v>
      </c>
      <c r="C11" s="1942">
        <v>7840</v>
      </c>
    </row>
    <row r="12" spans="1:3" x14ac:dyDescent="0.2">
      <c r="A12" s="1068"/>
    </row>
    <row r="13" spans="1:3" x14ac:dyDescent="0.2">
      <c r="A13" s="1069"/>
    </row>
    <row r="14" spans="1:3" x14ac:dyDescent="0.2">
      <c r="A14" s="1069"/>
    </row>
    <row r="15" spans="1:3" x14ac:dyDescent="0.2">
      <c r="A15" s="1069"/>
    </row>
    <row r="16" spans="1:3"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Western Area Career System</v>
      </c>
    </row>
    <row r="61" spans="1:2" x14ac:dyDescent="0.2">
      <c r="B61" s="1070">
        <f>COVER!A13</f>
        <v>26000000046</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228600</xdr:colOff>
                <xdr:row>2</xdr:row>
                <xdr:rowOff>142875</xdr:rowOff>
              </from>
              <to>
                <xdr:col>1</xdr:col>
                <xdr:colOff>1143000</xdr:colOff>
                <xdr:row>7</xdr:row>
                <xdr:rowOff>19050</xdr:rowOff>
              </to>
            </anchor>
          </objectPr>
        </oleObject>
      </mc:Choice>
      <mc:Fallback>
        <oleObject progId="Acrobat Document" dvAspect="DVASPECT_ICON" shapeId="3584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740851</v>
      </c>
      <c r="C8" s="1815">
        <f>'Acct Summary 7-8'!D8</f>
        <v>0</v>
      </c>
      <c r="D8" s="1815">
        <f>'Acct Summary 7-8'!F8</f>
        <v>0</v>
      </c>
      <c r="E8" s="1815">
        <f>'Acct Summary 7-8'!I8</f>
        <v>0</v>
      </c>
      <c r="F8" s="1815">
        <f>SUM(B8:E8)</f>
        <v>740851</v>
      </c>
    </row>
    <row r="9" spans="1:8" s="1079" customFormat="1" ht="14.25" customHeight="1" thickBot="1" x14ac:dyDescent="0.25">
      <c r="A9" s="1078" t="s">
        <v>1369</v>
      </c>
      <c r="B9" s="1816">
        <f>'Acct Summary 7-8'!C17</f>
        <v>772252</v>
      </c>
      <c r="C9" s="1816">
        <f>'Acct Summary 7-8'!D17</f>
        <v>0</v>
      </c>
      <c r="D9" s="1816">
        <f>'Acct Summary 7-8'!F17</f>
        <v>0</v>
      </c>
      <c r="E9" s="1815"/>
      <c r="F9" s="1815">
        <f>SUM(B9:E9)</f>
        <v>772252</v>
      </c>
    </row>
    <row r="10" spans="1:8" s="1079" customFormat="1" ht="14.25" thickTop="1" thickBot="1" x14ac:dyDescent="0.25">
      <c r="A10" s="1080" t="s">
        <v>1370</v>
      </c>
      <c r="B10" s="1817">
        <f>(B8-B9)</f>
        <v>-31401</v>
      </c>
      <c r="C10" s="1817">
        <f>(C8-C9)</f>
        <v>0</v>
      </c>
      <c r="D10" s="1817">
        <f>(D8-D9)</f>
        <v>0</v>
      </c>
      <c r="E10" s="1816">
        <f>(E8-E9)</f>
        <v>0</v>
      </c>
      <c r="F10" s="1818">
        <f>SUM(F8-F9)</f>
        <v>-31401</v>
      </c>
    </row>
    <row r="11" spans="1:8" s="1079" customFormat="1" ht="14.25" thickTop="1" thickBot="1" x14ac:dyDescent="0.25">
      <c r="A11" s="1081" t="s">
        <v>1983</v>
      </c>
      <c r="B11" s="1819">
        <f>'Acct Summary 7-8'!C81</f>
        <v>554187</v>
      </c>
      <c r="C11" s="1819">
        <f>'Acct Summary 7-8'!D81</f>
        <v>0</v>
      </c>
      <c r="D11" s="1819">
        <f>'Acct Summary 7-8'!F81</f>
        <v>0</v>
      </c>
      <c r="E11" s="1819">
        <f>'Acct Summary 7-8'!I81</f>
        <v>0</v>
      </c>
      <c r="F11" s="1820">
        <f>SUM(B11:E11)</f>
        <v>554187</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26000000046</v>
      </c>
    </row>
    <row r="3" spans="1:2" x14ac:dyDescent="0.2">
      <c r="A3" t="s">
        <v>956</v>
      </c>
      <c r="B3" s="138" t="str">
        <f>COVER!A15</f>
        <v>McDonough, Hancock</v>
      </c>
    </row>
    <row r="4" spans="1:2" x14ac:dyDescent="0.2">
      <c r="A4" t="s">
        <v>1007</v>
      </c>
      <c r="B4" s="138" t="str">
        <f>COVER!A17</f>
        <v>Western Area Career System</v>
      </c>
    </row>
    <row r="5" spans="1:2" x14ac:dyDescent="0.2">
      <c r="A5" t="s">
        <v>704</v>
      </c>
      <c r="B5" s="138" t="str">
        <f>COVER!A38</f>
        <v>Dave Messersmith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066-005055</v>
      </c>
    </row>
    <row r="16" spans="1:2" x14ac:dyDescent="0.2">
      <c r="A16" t="s">
        <v>422</v>
      </c>
      <c r="B16" s="138" t="str">
        <f>COVER!T13</f>
        <v>Ginoli &amp; Company Ltd</v>
      </c>
    </row>
    <row r="17" spans="1:2" x14ac:dyDescent="0.2">
      <c r="A17" t="s">
        <v>884</v>
      </c>
      <c r="B17" s="138" t="str">
        <f>COVER!T15</f>
        <v>Michael P Remmele</v>
      </c>
    </row>
    <row r="18" spans="1:2" x14ac:dyDescent="0.2">
      <c r="A18" t="s">
        <v>1150</v>
      </c>
      <c r="B18" s="138" t="str">
        <f>COVER!T17</f>
        <v>7625 N. University Street, Suite A</v>
      </c>
    </row>
    <row r="19" spans="1:2" x14ac:dyDescent="0.2">
      <c r="A19" t="s">
        <v>886</v>
      </c>
      <c r="B19" s="138" t="str">
        <f>COVER!T25</f>
        <v>mremmele@ginolicpa.com</v>
      </c>
    </row>
    <row r="20" spans="1:2" x14ac:dyDescent="0.2">
      <c r="A20" t="s">
        <v>887</v>
      </c>
      <c r="B20" s="138" t="str">
        <f>COVER!T19</f>
        <v>Peoria</v>
      </c>
    </row>
    <row r="21" spans="1:2" x14ac:dyDescent="0.2">
      <c r="A21" t="s">
        <v>479</v>
      </c>
      <c r="B21" s="138" t="str">
        <f>COVER!X19</f>
        <v>IL</v>
      </c>
    </row>
    <row r="22" spans="1:2" x14ac:dyDescent="0.2">
      <c r="A22" t="s">
        <v>888</v>
      </c>
      <c r="B22" s="138" t="str">
        <f>COVER!Z19</f>
        <v>61614-8303</v>
      </c>
    </row>
    <row r="23" spans="1:2" x14ac:dyDescent="0.2">
      <c r="A23" t="s">
        <v>1152</v>
      </c>
      <c r="B23" s="138" t="str">
        <f>COVER!T21</f>
        <v>309-671-2350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554187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554187</v>
      </c>
      <c r="D92" s="2" t="str">
        <f t="shared" si="0"/>
        <v>Error?</v>
      </c>
    </row>
    <row r="93" spans="1:4" x14ac:dyDescent="0.2">
      <c r="A93" s="5">
        <v>32</v>
      </c>
      <c r="B93" s="138">
        <f>'Assets-Liab 5-6'!C41</f>
        <v>554187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3770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3770</v>
      </c>
      <c r="C279" s="2" t="s">
        <v>573</v>
      </c>
      <c r="D279" s="2" t="str">
        <f t="shared" si="3"/>
        <v>Error?</v>
      </c>
    </row>
    <row r="280" spans="1:4" x14ac:dyDescent="0.2">
      <c r="A280" s="5">
        <v>219</v>
      </c>
      <c r="B280" s="138">
        <f>'Assets-Liab 5-6'!M40</f>
        <v>3770</v>
      </c>
      <c r="D280" s="2" t="str">
        <f t="shared" si="3"/>
        <v>Error?</v>
      </c>
    </row>
    <row r="281" spans="1:4" x14ac:dyDescent="0.2">
      <c r="A281" s="5">
        <v>220</v>
      </c>
      <c r="B281" s="138">
        <f>'Assets-Liab 5-6'!M41</f>
        <v>3770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11632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11632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82350</v>
      </c>
      <c r="D733" s="2" t="str">
        <f t="shared" si="10"/>
        <v>Error?</v>
      </c>
    </row>
    <row r="734" spans="1:4" x14ac:dyDescent="0.2">
      <c r="A734" s="5">
        <v>673</v>
      </c>
      <c r="B734" s="138">
        <f>'Expenditures 15-22'!C53</f>
        <v>82350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93982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93982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853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853</v>
      </c>
      <c r="C785" s="2" t="s">
        <v>573</v>
      </c>
      <c r="D785" s="2" t="str">
        <f t="shared" si="11"/>
        <v>Error?</v>
      </c>
    </row>
    <row r="786" spans="1:4" x14ac:dyDescent="0.2">
      <c r="A786" s="5">
        <v>725</v>
      </c>
      <c r="B786" s="138">
        <f>'Expenditures 15-22'!D44</f>
        <v>3032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3032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16089</v>
      </c>
      <c r="D791" s="2" t="str">
        <f t="shared" si="11"/>
        <v>Error?</v>
      </c>
    </row>
    <row r="792" spans="1:4" x14ac:dyDescent="0.2">
      <c r="A792" s="5">
        <v>731</v>
      </c>
      <c r="B792" s="138">
        <f>'Expenditures 15-22'!D53</f>
        <v>16089</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19974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19974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12845</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12845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27529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27529</v>
      </c>
      <c r="C843" s="2" t="s">
        <v>573</v>
      </c>
      <c r="D843" s="2" t="str">
        <f t="shared" si="12"/>
        <v>Error?</v>
      </c>
    </row>
    <row r="844" spans="1:4" x14ac:dyDescent="0.2">
      <c r="A844" s="5">
        <v>783</v>
      </c>
      <c r="B844" s="138">
        <f>'Expenditures 15-22'!E44</f>
        <v>29753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29753</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14513</v>
      </c>
      <c r="D849" s="2" t="str">
        <f t="shared" si="12"/>
        <v>Error?</v>
      </c>
    </row>
    <row r="850" spans="1:4" x14ac:dyDescent="0.2">
      <c r="A850" s="5">
        <v>789</v>
      </c>
      <c r="B850" s="138">
        <f>'Expenditures 15-22'!E53</f>
        <v>14513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71795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192978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223894</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223894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998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998</v>
      </c>
      <c r="C901" s="2" t="s">
        <v>573</v>
      </c>
      <c r="D901" s="2" t="str">
        <f t="shared" si="13"/>
        <v>Error?</v>
      </c>
    </row>
    <row r="902" spans="1:4" x14ac:dyDescent="0.2">
      <c r="A902" s="5">
        <v>841</v>
      </c>
      <c r="B902" s="138">
        <f>'Expenditures 15-22'!F44</f>
        <v>1694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1694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408</v>
      </c>
      <c r="D907" s="2" t="str">
        <f t="shared" si="13"/>
        <v>Error?</v>
      </c>
    </row>
    <row r="908" spans="1:4" x14ac:dyDescent="0.2">
      <c r="A908" s="5">
        <v>847</v>
      </c>
      <c r="B908" s="138">
        <f>'Expenditures 15-22'!F53</f>
        <v>408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3100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226994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227506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227506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227506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10818</v>
      </c>
      <c r="D1023" s="2" t="str">
        <f t="shared" ref="D1023:D1086" si="15">IF(ISBLANK(B1023),"OK",IF(A1023-B1023=0,"OK","Error?"))</f>
        <v>Error?</v>
      </c>
    </row>
    <row r="1024" spans="1:4" x14ac:dyDescent="0.2">
      <c r="A1024" s="5">
        <v>963</v>
      </c>
      <c r="B1024" s="138">
        <f>'Expenditures 15-22'!H53</f>
        <v>10818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10818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10818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464245</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464245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29380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29380</v>
      </c>
      <c r="C1115" s="2" t="s">
        <v>573</v>
      </c>
      <c r="D1115" s="2" t="str">
        <f t="shared" si="16"/>
        <v>Error?</v>
      </c>
    </row>
    <row r="1116" spans="1:4" x14ac:dyDescent="0.2">
      <c r="A1116" s="5">
        <v>1055</v>
      </c>
      <c r="B1116" s="138">
        <f>'Expenditures 15-22'!K44</f>
        <v>46111</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46111</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124178</v>
      </c>
      <c r="C1121" s="2" t="s">
        <v>573</v>
      </c>
      <c r="D1121" s="2" t="str">
        <f t="shared" si="16"/>
        <v>Error?</v>
      </c>
    </row>
    <row r="1122" spans="1:4" x14ac:dyDescent="0.2">
      <c r="A1122" s="5">
        <v>1061</v>
      </c>
      <c r="B1122" s="138">
        <f>'Expenditures 15-22'!K53</f>
        <v>124178</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199669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108338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772252</v>
      </c>
      <c r="C1152" s="2" t="s">
        <v>573</v>
      </c>
      <c r="D1152" s="2" t="str">
        <f t="shared" si="17"/>
        <v>Error?</v>
      </c>
    </row>
    <row r="1153" spans="1:4" x14ac:dyDescent="0.2">
      <c r="A1153" s="5">
        <v>1092</v>
      </c>
      <c r="B1153" s="138">
        <f>'Expenditures 15-22'!K115</f>
        <v>-31401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585588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554187</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10983</v>
      </c>
      <c r="D2011" s="2" t="str">
        <f t="shared" si="30"/>
        <v>Error?</v>
      </c>
    </row>
    <row r="2012" spans="1:4" x14ac:dyDescent="0.2">
      <c r="A2012" s="5">
        <v>1951</v>
      </c>
      <c r="B2012" s="138">
        <f>'Cap Outlay Deprec 26'!C13</f>
        <v>1694</v>
      </c>
      <c r="D2012" s="2" t="str">
        <f t="shared" si="30"/>
        <v>Error?</v>
      </c>
    </row>
    <row r="2013" spans="1:4" x14ac:dyDescent="0.2">
      <c r="A2013" s="5">
        <v>1952</v>
      </c>
      <c r="B2013" s="138">
        <f>'Cap Outlay Deprec 26'!C16</f>
        <v>12677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2598</v>
      </c>
      <c r="D2018" s="2" t="str">
        <f t="shared" si="30"/>
        <v>Error?</v>
      </c>
    </row>
    <row r="2019" spans="1:4" x14ac:dyDescent="0.2">
      <c r="A2019" s="5">
        <v>1958</v>
      </c>
      <c r="B2019" s="138">
        <f>'Cap Outlay Deprec 26'!D16</f>
        <v>2598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10983</v>
      </c>
      <c r="C2029" s="2" t="s">
        <v>573</v>
      </c>
      <c r="D2029" s="2" t="str">
        <f t="shared" si="30"/>
        <v>Error?</v>
      </c>
    </row>
    <row r="2030" spans="1:4" x14ac:dyDescent="0.2">
      <c r="A2030" s="5">
        <v>1969</v>
      </c>
      <c r="B2030" s="138">
        <f>'Cap Outlay Deprec 26'!F13</f>
        <v>4292</v>
      </c>
      <c r="C2030" s="2" t="s">
        <v>573</v>
      </c>
      <c r="D2030" s="2" t="str">
        <f t="shared" si="30"/>
        <v>Error?</v>
      </c>
    </row>
    <row r="2031" spans="1:4" x14ac:dyDescent="0.2">
      <c r="A2031" s="5">
        <v>1970</v>
      </c>
      <c r="B2031" s="138">
        <f>'Cap Outlay Deprec 26'!F16</f>
        <v>15275</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8525</v>
      </c>
      <c r="D2035" s="2" t="str">
        <f t="shared" si="30"/>
        <v>Error?</v>
      </c>
    </row>
    <row r="2036" spans="1:4" x14ac:dyDescent="0.2">
      <c r="A2036" s="5">
        <v>1975</v>
      </c>
      <c r="B2036" s="138">
        <f>'Cap Outlay Deprec 26'!H13</f>
        <v>1058</v>
      </c>
      <c r="D2036" s="2" t="str">
        <f t="shared" si="30"/>
        <v>Error?</v>
      </c>
    </row>
    <row r="2037" spans="1:4" x14ac:dyDescent="0.2">
      <c r="A2037" s="5">
        <v>1976</v>
      </c>
      <c r="B2037" s="138">
        <f>'Cap Outlay Deprec 26'!H16</f>
        <v>9583</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944</v>
      </c>
      <c r="D2041" s="2" t="str">
        <f t="shared" si="30"/>
        <v>Error?</v>
      </c>
    </row>
    <row r="2042" spans="1:4" x14ac:dyDescent="0.2">
      <c r="A2042" s="5">
        <v>1981</v>
      </c>
      <c r="B2042" s="138">
        <f>'Cap Outlay Deprec 26'!I13</f>
        <v>978</v>
      </c>
      <c r="D2042" s="2" t="str">
        <f t="shared" si="30"/>
        <v>Error?</v>
      </c>
    </row>
    <row r="2043" spans="1:4" x14ac:dyDescent="0.2">
      <c r="A2043" s="5">
        <v>1982</v>
      </c>
      <c r="B2043" s="138">
        <f>'Cap Outlay Deprec 26'!I16</f>
        <v>1922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9469</v>
      </c>
      <c r="C2053" s="2" t="s">
        <v>573</v>
      </c>
      <c r="D2053" s="2" t="str">
        <f t="shared" si="31"/>
        <v>Error?</v>
      </c>
    </row>
    <row r="2054" spans="1:4" x14ac:dyDescent="0.2">
      <c r="A2054" s="5">
        <v>1993</v>
      </c>
      <c r="B2054" s="138">
        <f>'Cap Outlay Deprec 26'!K13</f>
        <v>2036</v>
      </c>
      <c r="C2054" s="2" t="s">
        <v>573</v>
      </c>
      <c r="D2054" s="2" t="str">
        <f t="shared" si="31"/>
        <v>Error?</v>
      </c>
    </row>
    <row r="2055" spans="1:4" x14ac:dyDescent="0.2">
      <c r="A2055" s="5">
        <v>1994</v>
      </c>
      <c r="B2055" s="138">
        <f>'Cap Outlay Deprec 26'!K16</f>
        <v>11505</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1514</v>
      </c>
      <c r="C2059" s="2" t="s">
        <v>573</v>
      </c>
      <c r="D2059" s="2" t="str">
        <f t="shared" si="31"/>
        <v>Error?</v>
      </c>
    </row>
    <row r="2060" spans="1:4" x14ac:dyDescent="0.2">
      <c r="A2060" s="5">
        <v>1999</v>
      </c>
      <c r="B2060" s="138">
        <f>'Cap Outlay Deprec 26'!L13</f>
        <v>2256</v>
      </c>
      <c r="C2060" s="2" t="s">
        <v>573</v>
      </c>
      <c r="D2060" s="2" t="str">
        <f t="shared" si="31"/>
        <v>Error?</v>
      </c>
    </row>
    <row r="2061" spans="1:4" x14ac:dyDescent="0.2">
      <c r="A2061" s="5">
        <v>2000</v>
      </c>
      <c r="B2061" s="138">
        <f>'Cap Outlay Deprec 26'!L16</f>
        <v>3770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108338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35503</v>
      </c>
      <c r="C2551" s="2" t="s">
        <v>573</v>
      </c>
      <c r="D2551" s="2" t="str">
        <f t="shared" si="38"/>
        <v>Error?</v>
      </c>
    </row>
    <row r="2552" spans="1:4" x14ac:dyDescent="0.2">
      <c r="A2552" s="10">
        <v>2491</v>
      </c>
      <c r="D2552" s="2" t="str">
        <f t="shared" si="38"/>
        <v>OK</v>
      </c>
    </row>
    <row r="2553" spans="1:4" x14ac:dyDescent="0.2">
      <c r="A2553" s="5">
        <v>2492</v>
      </c>
      <c r="B2553" s="138">
        <f>'Acct Summary 7-8'!C6</f>
        <v>482746</v>
      </c>
      <c r="C2553" s="2" t="s">
        <v>573</v>
      </c>
      <c r="D2553" s="2" t="str">
        <f t="shared" si="38"/>
        <v>Error?</v>
      </c>
    </row>
    <row r="2554" spans="1:4" x14ac:dyDescent="0.2">
      <c r="A2554" s="5">
        <v>2493</v>
      </c>
      <c r="B2554" s="138">
        <f>'Acct Summary 7-8'!C7</f>
        <v>222602</v>
      </c>
      <c r="C2554" s="2" t="s">
        <v>573</v>
      </c>
      <c r="D2554" s="2" t="str">
        <f t="shared" si="38"/>
        <v>Error?</v>
      </c>
    </row>
    <row r="2555" spans="1:4" x14ac:dyDescent="0.2">
      <c r="A2555" s="5">
        <v>2494</v>
      </c>
      <c r="B2555" s="138">
        <f>'Acct Summary 7-8'!C8</f>
        <v>740851</v>
      </c>
      <c r="C2555" s="2" t="s">
        <v>573</v>
      </c>
      <c r="D2555" s="2" t="str">
        <f t="shared" si="38"/>
        <v>Error?</v>
      </c>
    </row>
    <row r="2556" spans="1:4" x14ac:dyDescent="0.2">
      <c r="A2556" s="5">
        <v>2495</v>
      </c>
      <c r="B2556" s="138">
        <f>'Acct Summary 7-8'!C12</f>
        <v>464245</v>
      </c>
      <c r="C2556" s="2" t="s">
        <v>573</v>
      </c>
      <c r="D2556" s="2" t="str">
        <f t="shared" si="38"/>
        <v>Error?</v>
      </c>
    </row>
    <row r="2557" spans="1:4" x14ac:dyDescent="0.2">
      <c r="A2557" s="5">
        <v>2496</v>
      </c>
      <c r="B2557" s="138">
        <f>'Acct Summary 7-8'!C13</f>
        <v>199669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108338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772252</v>
      </c>
      <c r="C2561" s="2" t="s">
        <v>573</v>
      </c>
      <c r="D2561" s="2" t="str">
        <f t="shared" si="39"/>
        <v>Error?</v>
      </c>
    </row>
    <row r="2562" spans="1:4" x14ac:dyDescent="0.2">
      <c r="A2562" s="5">
        <v>2501</v>
      </c>
      <c r="B2562" s="138">
        <f>'Acct Summary 7-8'!C20</f>
        <v>-31401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108338</v>
      </c>
      <c r="C2789" s="2" t="s">
        <v>573</v>
      </c>
      <c r="D2789" s="2" t="str">
        <f t="shared" si="42"/>
        <v>Error?</v>
      </c>
    </row>
    <row r="2790" spans="1:4" x14ac:dyDescent="0.2">
      <c r="A2790" s="5">
        <v>2729</v>
      </c>
      <c r="B2790" s="138">
        <f>'Expenditures 15-22'!E102</f>
        <v>108338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108338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108338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-31401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554187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740851</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772252</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554187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222602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35369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7840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35369</v>
      </c>
      <c r="C5120" s="2" t="s">
        <v>573</v>
      </c>
      <c r="D5120" s="2" t="str">
        <f t="shared" si="79"/>
        <v>Error?</v>
      </c>
    </row>
    <row r="5121" spans="1:4" x14ac:dyDescent="0.2">
      <c r="A5121" s="5">
        <v>5060</v>
      </c>
      <c r="B5121" s="138">
        <f>'Revenues 9-14'!C109</f>
        <v>35503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474906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474906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482746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482746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222602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222602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222602</v>
      </c>
      <c r="C5326" s="2" t="s">
        <v>573</v>
      </c>
      <c r="D5326" s="2" t="str">
        <f t="shared" si="82"/>
        <v>Error?</v>
      </c>
    </row>
    <row r="5327" spans="1:5" x14ac:dyDescent="0.2">
      <c r="A5327" s="5">
        <v>5266</v>
      </c>
      <c r="B5327" s="138">
        <f>'Revenues 9-14'!C268</f>
        <v>740851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-31401</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-5.6661379642611608E-2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Western Area Career System</v>
      </c>
      <c r="B7" s="2406"/>
      <c r="C7" s="2406"/>
      <c r="D7" s="2407"/>
      <c r="E7" s="2408">
        <f>COVER!A13</f>
        <v>26000000046</v>
      </c>
      <c r="F7" s="2409"/>
      <c r="G7" s="2415" t="str">
        <f>COVER!T23</f>
        <v>066-005055</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Ginoli &amp; Company Ltd</v>
      </c>
      <c r="H9" s="2421"/>
      <c r="I9" s="2421"/>
      <c r="J9" s="2421"/>
      <c r="K9" s="2421"/>
      <c r="L9" s="2422"/>
    </row>
    <row r="10" spans="1:29" ht="13.5" customHeight="1" x14ac:dyDescent="0.2">
      <c r="A10" s="2395" t="str">
        <f>COVER!A38</f>
        <v>Dave Messersmith</v>
      </c>
      <c r="B10" s="2396"/>
      <c r="C10" s="2396"/>
      <c r="D10" s="2396"/>
      <c r="E10" s="2396"/>
      <c r="F10" s="2397"/>
      <c r="G10" s="2389" t="str">
        <f>COVER!T17</f>
        <v>7625 N. University Street, Suite A</v>
      </c>
      <c r="H10" s="2390"/>
      <c r="I10" s="2390"/>
      <c r="J10" s="2390"/>
      <c r="K10" s="2390"/>
      <c r="L10" s="2391"/>
    </row>
    <row r="11" spans="1:29" ht="13.5" customHeight="1" x14ac:dyDescent="0.2">
      <c r="A11" s="1184" t="s">
        <v>1519</v>
      </c>
      <c r="B11" s="1185"/>
      <c r="C11" s="1186"/>
      <c r="D11" s="1191"/>
      <c r="E11" s="1186"/>
      <c r="F11" s="1190"/>
      <c r="G11" s="2389" t="str">
        <f>COVER!T19</f>
        <v>Peoria</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mremmele@ginolicpa.com</v>
      </c>
      <c r="J13" s="2402"/>
      <c r="K13" s="2402"/>
      <c r="L13" s="2403"/>
    </row>
    <row r="14" spans="1:29" ht="13.5" customHeight="1" x14ac:dyDescent="0.2">
      <c r="A14" s="2389" t="str">
        <f>COVER!A19</f>
        <v>130 S. Lafayette Street, Suite 200</v>
      </c>
      <c r="B14" s="2390"/>
      <c r="C14" s="2390"/>
      <c r="D14" s="2390"/>
      <c r="E14" s="2390"/>
      <c r="F14" s="2391"/>
      <c r="G14" s="1195" t="s">
        <v>1185</v>
      </c>
      <c r="H14" s="1193"/>
      <c r="I14" s="1193"/>
      <c r="J14" s="1193"/>
      <c r="K14" s="1193"/>
      <c r="L14" s="1194"/>
    </row>
    <row r="15" spans="1:29" ht="13.5" customHeight="1" x14ac:dyDescent="0.2">
      <c r="A15" s="2389" t="str">
        <f>COVER!A21</f>
        <v>Macomb</v>
      </c>
      <c r="B15" s="2390"/>
      <c r="C15" s="2390"/>
      <c r="D15" s="2390"/>
      <c r="E15" s="2390"/>
      <c r="F15" s="2391"/>
      <c r="G15" s="2386" t="str">
        <f>COVER!T15</f>
        <v>Michael P Remmele</v>
      </c>
      <c r="H15" s="2387"/>
      <c r="I15" s="2387"/>
      <c r="J15" s="2387"/>
      <c r="K15" s="2387"/>
      <c r="L15" s="2388"/>
    </row>
    <row r="16" spans="1:29" ht="12.2" customHeight="1" x14ac:dyDescent="0.2">
      <c r="A16" s="2411">
        <f>COVER!A25</f>
        <v>61455</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309-671-2350</v>
      </c>
      <c r="H18" s="2406"/>
      <c r="I18" s="2406"/>
      <c r="J18" s="2406"/>
      <c r="K18" s="2405" t="str">
        <f>COVER!X21</f>
        <v>309-671-5459</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Western Area Career System</v>
      </c>
      <c r="B1" s="2404"/>
      <c r="C1" s="2404"/>
      <c r="D1" s="2404"/>
    </row>
    <row r="2" spans="1:11" s="1212" customFormat="1" ht="12.75" x14ac:dyDescent="0.2">
      <c r="A2" s="2428">
        <f>'Single Audit Cover'!E7</f>
        <v>26000000046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Western Area Career System</v>
      </c>
      <c r="B1" s="2431"/>
      <c r="C1" s="2431"/>
      <c r="D1" s="2431"/>
      <c r="E1" s="2431"/>
    </row>
    <row r="2" spans="1:5" x14ac:dyDescent="0.2">
      <c r="A2" s="2432">
        <f>'Single Audit Cover'!E7</f>
        <v>26000000046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222602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222602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222602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222602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Western Area Career System</v>
      </c>
      <c r="C1" s="2435"/>
      <c r="D1" s="2435"/>
      <c r="E1" s="2435"/>
      <c r="F1" s="2435"/>
      <c r="G1" s="2435"/>
      <c r="H1" s="2435"/>
      <c r="I1" s="2435"/>
      <c r="J1" s="2435"/>
      <c r="K1" s="2435"/>
      <c r="L1" s="2435"/>
      <c r="M1" s="2435"/>
    </row>
    <row r="2" spans="2:14" ht="15" x14ac:dyDescent="0.2">
      <c r="B2" s="2436">
        <f>'Single Audit Cover'!E7</f>
        <v>26000000046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Western Area Career System</v>
      </c>
      <c r="B1" s="2448"/>
      <c r="C1" s="2448"/>
      <c r="D1" s="2448"/>
      <c r="E1" s="2448"/>
      <c r="F1" s="2448"/>
    </row>
    <row r="2" spans="1:7" ht="13.5" customHeight="1" x14ac:dyDescent="0.2">
      <c r="A2" s="2436">
        <f>'Single Audit Cover'!E7</f>
        <v>26000000046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Western Area Career System</v>
      </c>
      <c r="C1" s="2463"/>
      <c r="D1" s="2463"/>
      <c r="E1" s="2463"/>
      <c r="F1" s="2463"/>
      <c r="G1" s="2463"/>
      <c r="H1" s="2463"/>
      <c r="I1" s="2463"/>
      <c r="J1" s="1406"/>
    </row>
    <row r="2" spans="2:10" s="317" customFormat="1" ht="12.75" customHeight="1" x14ac:dyDescent="0.2">
      <c r="B2" s="2464">
        <f>'Single Audit Cover'!E7</f>
        <v>26000000046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I10" sqref="I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Western Area Career System</v>
      </c>
      <c r="C1" s="2462"/>
      <c r="D1" s="2462"/>
      <c r="E1" s="2462"/>
      <c r="F1" s="2462"/>
      <c r="G1" s="2462"/>
      <c r="H1" s="2462"/>
      <c r="I1" s="2462"/>
      <c r="J1" s="2462"/>
      <c r="K1" s="2462"/>
      <c r="L1" s="1371"/>
      <c r="M1" s="1371"/>
    </row>
    <row r="2" spans="1:13" ht="12" customHeight="1" x14ac:dyDescent="0.2">
      <c r="B2" s="2464">
        <f>'Single Audit Cover'!E7</f>
        <v>26000000046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7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Western Area Career System</v>
      </c>
      <c r="C1" s="2485"/>
      <c r="D1" s="2485"/>
      <c r="E1" s="2485"/>
      <c r="F1" s="2485"/>
      <c r="G1" s="2485"/>
      <c r="H1" s="2485"/>
      <c r="I1" s="2485"/>
      <c r="J1" s="2485"/>
      <c r="K1" s="2485"/>
      <c r="L1" s="1449"/>
    </row>
    <row r="2" spans="1:12" ht="12.75" customHeight="1" x14ac:dyDescent="0.2">
      <c r="B2" s="2486">
        <f>'Single Audit Cover'!E7</f>
        <v>26000000046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Western Area Career System</v>
      </c>
      <c r="C1" s="2462"/>
      <c r="D1" s="2462"/>
      <c r="E1" s="1469"/>
    </row>
    <row r="2" spans="2:5" s="1279" customFormat="1" ht="12.75" customHeight="1" x14ac:dyDescent="0.2">
      <c r="B2" s="2464">
        <f>'Single Audit Cover'!E7</f>
        <v>26000000046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2090</v>
      </c>
      <c r="C7" s="324" t="s">
        <v>2091</v>
      </c>
      <c r="D7" s="324" t="s">
        <v>2093</v>
      </c>
      <c r="E7" s="324"/>
    </row>
    <row r="8" spans="2:5" ht="13.5" customHeight="1" x14ac:dyDescent="0.2">
      <c r="B8" s="1474"/>
      <c r="C8" s="324" t="s">
        <v>2092</v>
      </c>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6ce3111e-7420-4802-b50a-75d4e9a0b980"/>
    <ds:schemaRef ds:uri="4d435f69-8686-490b-bd6d-b153bf22ab50"/>
    <ds:schemaRef ds:uri="d21dc803-237d-4c68-8692-8d731fd29118"/>
    <ds:schemaRef ds:uri="http://purl.org/dc/elements/1.1/"/>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2019-11-11T19:29:30Z</cp:lastPrinted>
  <dcterms:created xsi:type="dcterms:W3CDTF">2003-10-29T19:06:34Z</dcterms:created>
  <dcterms:modified xsi:type="dcterms:W3CDTF">2019-12-17T15:59:21Z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