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B40535DF-3330-4E8F-9E63-C00E515DDD80}" xr6:coauthVersionLast="36" xr6:coauthVersionMax="36" xr10:uidLastSave="{00000000-0000-0000-0000-000000000000}"/>
  <bookViews>
    <workbookView xWindow="-120" yWindow="-120" windowWidth="2064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82" i="36"/>
  <c r="D78" i="36"/>
  <c r="K75" i="29"/>
  <c r="K130" i="29"/>
  <c r="B2805" i="106" s="1"/>
  <c r="D2805" i="106" s="1"/>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B7090" i="106" s="1"/>
  <c r="D7090" i="106" s="1"/>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G26" i="108"/>
  <c r="E27" i="108"/>
  <c r="G27" i="108"/>
  <c r="F31" i="108"/>
  <c r="F36" i="108"/>
  <c r="G28" i="108"/>
  <c r="E30" i="108"/>
  <c r="G30" i="108"/>
  <c r="D36" i="108"/>
  <c r="E31" i="108"/>
  <c r="G31" i="108"/>
  <c r="E33" i="108"/>
  <c r="G33" i="108"/>
  <c r="E34"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28" i="118"/>
  <c r="H29" i="118"/>
  <c r="H33" i="118"/>
  <c r="D22" i="37"/>
  <c r="J22" i="37"/>
  <c r="L5" i="11"/>
  <c r="B2056" i="106" s="1"/>
  <c r="D2056" i="106" s="1"/>
  <c r="L13" i="11" l="1"/>
  <c r="B2060" i="106" s="1"/>
  <c r="D2060" i="106" s="1"/>
  <c r="D24" i="37"/>
  <c r="B4270" i="106" s="1"/>
  <c r="D4270" i="106" s="1"/>
  <c r="K184" i="29"/>
  <c r="F13" i="4" s="1"/>
  <c r="B2596" i="106" s="1"/>
  <c r="D2596" i="106" s="1"/>
  <c r="G210" i="29"/>
  <c r="B1365" i="106" s="1"/>
  <c r="D1365" i="106" s="1"/>
  <c r="J41" i="3"/>
  <c r="B6216" i="106" s="1"/>
  <c r="D6216" i="106" s="1"/>
  <c r="B3647" i="106"/>
  <c r="D3647" i="106" s="1"/>
  <c r="J352" i="29"/>
  <c r="J367" i="29" s="1"/>
  <c r="B7245" i="106" s="1"/>
  <c r="H365" i="29"/>
  <c r="B7242" i="106" s="1"/>
  <c r="D7242" i="106" s="1"/>
  <c r="D9" i="7"/>
  <c r="B1767" i="106" s="1"/>
  <c r="D1767" i="106" s="1"/>
  <c r="B6289" i="106"/>
  <c r="D6289" i="106" s="1"/>
  <c r="H76" i="4"/>
  <c r="B3298" i="106" s="1"/>
  <c r="D3298" i="106" s="1"/>
  <c r="B1124" i="106"/>
  <c r="D1124" i="106" s="1"/>
  <c r="E26" i="108"/>
  <c r="F36" i="34"/>
  <c r="B6995" i="106"/>
  <c r="D6995" i="106" s="1"/>
  <c r="B1274" i="106"/>
  <c r="D1274" i="106" s="1"/>
  <c r="E38" i="108"/>
  <c r="F77" i="4"/>
  <c r="B3255" i="106" s="1"/>
  <c r="D3255" i="106" s="1"/>
  <c r="K76" i="4"/>
  <c r="B3586" i="106" s="1"/>
  <c r="D3586" i="106" s="1"/>
  <c r="I210" i="29"/>
  <c r="B7071" i="106" s="1"/>
  <c r="D7071" i="106" s="1"/>
  <c r="L367" i="29"/>
  <c r="C342" i="29"/>
  <c r="B7216" i="106" s="1"/>
  <c r="D7216" i="106" s="1"/>
  <c r="L342" i="29"/>
  <c r="G38" i="108"/>
  <c r="F28" i="108"/>
  <c r="D27" i="108"/>
  <c r="J210" i="29"/>
  <c r="B7072" i="106" s="1"/>
  <c r="D7072" i="106" s="1"/>
  <c r="G39" i="108"/>
  <c r="F70" i="34"/>
  <c r="G35" i="108"/>
  <c r="B7235" i="106"/>
  <c r="D7235" i="106" s="1"/>
  <c r="H342" i="29"/>
  <c r="G15" i="145"/>
  <c r="K28" i="118"/>
  <c r="O27" i="118" s="1"/>
  <c r="O29" i="118" s="1"/>
  <c r="N22" i="3"/>
  <c r="B283" i="106" s="1"/>
  <c r="D283" i="106" s="1"/>
  <c r="D54" i="36"/>
  <c r="D17" i="7"/>
  <c r="B4104" i="106" s="1"/>
  <c r="D4104" i="106" s="1"/>
  <c r="D11" i="37"/>
  <c r="F14" i="4"/>
  <c r="B2597" i="106" s="1"/>
  <c r="D2597" i="106" s="1"/>
  <c r="D37" i="108"/>
  <c r="F37" i="108"/>
  <c r="E28" i="108"/>
  <c r="D26" i="108"/>
  <c r="D31" i="36"/>
  <c r="J77" i="4"/>
  <c r="B6262" i="106" s="1"/>
  <c r="D6262" i="106" s="1"/>
  <c r="B4087" i="106"/>
  <c r="D4087" i="106" s="1"/>
  <c r="K41" i="3"/>
  <c r="L15" i="11"/>
  <c r="B3459" i="106" s="1"/>
  <c r="D3459" i="106" s="1"/>
  <c r="L22" i="37"/>
  <c r="F19" i="7"/>
  <c r="B1807" i="106" s="1"/>
  <c r="D1807" i="106" s="1"/>
  <c r="F65" i="34"/>
  <c r="G29" i="108"/>
  <c r="D7245" i="106"/>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L16" i="11"/>
  <c r="B2061" i="106" s="1"/>
  <c r="D2061"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G170" i="5" l="1"/>
  <c r="B5778" i="106" s="1"/>
  <c r="D5778" i="106" s="1"/>
  <c r="H77" i="4"/>
  <c r="B3299" i="106" s="1"/>
  <c r="D3299" i="106" s="1"/>
  <c r="D44" i="36"/>
  <c r="D51" i="36"/>
  <c r="N23" i="3"/>
  <c r="B284" i="106" s="1"/>
  <c r="D284" i="106" s="1"/>
  <c r="L114" i="29"/>
  <c r="F41" i="108"/>
  <c r="G43" i="108" s="1"/>
  <c r="K77" i="4"/>
  <c r="B3587" i="106" s="1"/>
  <c r="D3587" i="106" s="1"/>
  <c r="K365" i="29"/>
  <c r="I7" i="4"/>
  <c r="B4444" i="106" s="1"/>
  <c r="D4444" i="106" s="1"/>
  <c r="B5527" i="106"/>
  <c r="D5527" i="106" s="1"/>
  <c r="K342" i="29"/>
  <c r="F13" i="34" s="1"/>
  <c r="D41" i="108"/>
  <c r="E43" i="108" s="1"/>
  <c r="B1328" i="106"/>
  <c r="D1328" i="106" s="1"/>
  <c r="C114" i="29"/>
  <c r="B757" i="106" s="1"/>
  <c r="D757" i="106" s="1"/>
  <c r="G6" i="4"/>
  <c r="B2604" i="106" s="1"/>
  <c r="D2604" i="106"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8" i="4" l="1"/>
  <c r="F10" i="4" s="1"/>
  <c r="B4125" i="106" s="1"/>
  <c r="D41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<sst xmlns="http://schemas.openxmlformats.org/spreadsheetml/2006/main" count="5048" uniqueCount="2082">
  <si>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</si>
  <si>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</si>
  <si>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</si>
  <si>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</si>
  <si>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</si>
  <si>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</si>
  <si>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</si>
  <si>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</si>
  <si>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</si>
  <si>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</si>
  <si>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</si>
  <si>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</si>
  <si>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</si>
  <si>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</si>
  <si>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</si>
  <si>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</si>
  <si>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</si>
  <si>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</si>
  <si>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</si>
  <si>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</si>
  <si>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</si>
  <si>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</si>
  <si>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</si>
  <si>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</si>
  <si>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</si>
  <si>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</si>
  <si>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</si>
  <si>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</si>
  <si>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</si>
  <si>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</si>
  <si>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</si>
  <si>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</si>
  <si>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</si>
  <si>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</si>
  <si>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</si>
  <si>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</si>
  <si>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</si>
  <si>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</si>
  <si>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</si>
  <si>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</si>
  <si>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</si>
  <si>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</si>
  <si>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</si>
  <si>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</si>
  <si>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</si>
  <si>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</si>
  <si>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</si>
  <si>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</si>
  <si>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</si>
  <si>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</si>
  <si>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</si>
  <si>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</si>
  <si>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</si>
  <si>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</si>
  <si>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</si>
  <si>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</si>
  <si>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</si>
  <si>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</si>
  <si>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</si>
  <si>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</si>
  <si>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</si>
  <si>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</si>
  <si>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</si>
  <si>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</si>
  <si>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</si>
  <si>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</si>
  <si>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</si>
  <si>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</si>
  <si>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</si>
  <si>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</si>
  <si>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</si>
  <si>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</si>
  <si>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</si>
  <si>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</si>
  <si>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</si>
  <si>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</si>
  <si>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</si>
  <si>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</si>
  <si>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</si>
  <si>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</si>
  <si>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</si>
  <si>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</si>
  <si>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</si>
  <si>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</si>
  <si>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</si>
  <si>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</si>
  <si>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</si>
  <si>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</si>
  <si>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</si>
  <si>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</si>
  <si>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</si>
  <si>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</si>
  <si>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</si>
  <si>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</si>
  <si>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</si>
  <si>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</si>
  <si>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</si>
  <si>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</si>
  <si>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</si>
  <si>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</si>
  <si>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</si>
  <si>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</si>
  <si>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</si>
  <si>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</si>
  <si>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</si>
  <si>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</si>
  <si>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</si>
  <si>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</si>
  <si>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</si>
  <si>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</si>
  <si>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</si>
  <si>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</si>
  <si>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</si>
  <si>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</si>
  <si>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</si>
  <si>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</si>
  <si>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</si>
  <si>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</si>
  <si>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</si>
  <si>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</si>
  <si>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</si>
  <si>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</si>
  <si>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</si>
  <si>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</si>
  <si>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</si>
  <si>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</si>
  <si>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</si>
  <si>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</si>
  <si>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</si>
  <si>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</si>
  <si>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</si>
  <si>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</si>
  <si>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</si>
  <si>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</si>
  <si>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</si>
  <si>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</si>
  <si>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</si>
  <si>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</si>
  <si>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</si>
  <si>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</si>
  <si>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</si>
  <si>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</si>
  <si>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</si>
  <si>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</si>
  <si>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</si>
  <si>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</si>
  <si>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</si>
  <si>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</si>
  <si>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</si>
  <si>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</si>
  <si>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</si>
  <si>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</si>
  <si>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</si>
  <si>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</si>
  <si>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</si>
  <si>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</si>
  <si>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</si>
  <si>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</si>
  <si>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</si>
  <si>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</si>
  <si>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</si>
  <si>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</si>
  <si>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</si>
  <si>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</si>
  <si>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</si>
  <si>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</si>
  <si>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</si>
  <si>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</si>
  <si>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</si>
  <si>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</si>
  <si>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</si>
  <si>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</si>
  <si>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</si>
  <si>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</si>
  <si>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</si>
  <si>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</si>
  <si>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</si>
  <si>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</si>
  <si>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</si>
  <si>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</si>
  <si>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</si>
  <si>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</si>
  <si>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</si>
  <si>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</si>
  <si>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</si>
  <si>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</si>
  <si>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</si>
  <si>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</si>
  <si>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</si>
  <si>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</si>
  <si>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</si>
  <si>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</si>
  <si>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</si>
  <si>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</si>
  <si>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</si>
  <si>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</si>
  <si>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</si>
  <si>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</si>
  <si>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</si>
  <si>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</si>
  <si>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</si>
  <si>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</si>
  <si>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</si>
  <si>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</si>
  <si>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</si>
  <si>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</si>
  <si>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</si>
  <si>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</si>
  <si>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</si>
  <si>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</si>
  <si>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</si>
  <si>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</si>
  <si>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</si>
  <si>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</si>
  <si>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</si>
  <si>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</si>
  <si>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</si>
  <si>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</si>
  <si>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</si>
  <si>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</si>
  <si>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</si>
  <si>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</si>
  <si>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</si>
  <si>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</si>
  <si>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</si>
  <si>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</si>
  <si>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</si>
  <si>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</si>
  <si>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</si>
  <si>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</si>
  <si>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</si>
  <si>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</si>
  <si>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</si>
  <si>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</si>
  <si>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</si>
  <si>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</si>
  <si>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</si>
  <si>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</si>
  <si>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</si>
  <si>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</si>
  <si>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</si>
  <si>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</si>
  <si>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</si>
  <si>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</si>
  <si>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</si>
  <si>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</si>
  <si>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</si>
  <si>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</si>
  <si>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</si>
  <si>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</si>
  <si>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</si>
  <si>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</si>
  <si>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</si>
  <si>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</si>
  <si>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</si>
  <si>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</si>
  <si>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</si>
  <si>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</si>
  <si>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</si>
  <si>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</si>
  <si>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</si>
  <si>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</si>
  <si>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</si>
  <si>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</si>
  <si>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</si>
  <si>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</si>
  <si>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</si>
  <si>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</si>
  <si>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</si>
  <si>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</si>
  <si>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</si>
  <si>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</si>
  <si>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</si>
  <si>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</si>
  <si>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</si>
  <si>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</si>
  <si>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</si>
  <si>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</si>
  <si>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</si>
  <si>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</si>
  <si>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</si>
  <si>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</si>
  <si>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</si>
  <si>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</si>
  <si>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</si>
  <si>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</si>
  <si>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</si>
  <si>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</si>
  <si>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</si>
  <si>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</si>
  <si>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</si>
  <si>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</si>
  <si>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</si>
  <si>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</si>
  <si>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</si>
  <si>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</si>
  <si>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</si>
  <si>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</si>
  <si>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</si>
  <si>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</si>
  <si>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</si>
  <si>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</si>
  <si>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</si>
  <si>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</si>
  <si>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</si>
  <si>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</si>
  <si>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</si>
  <si>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</si>
  <si>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</si>
  <si>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</si>
  <si>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</si>
  <si>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</si>
  <si>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</si>
  <si>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</si>
  <si>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</si>
  <si>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</si>
  <si>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</si>
  <si>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</si>
  <si>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</si>
  <si>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</si>
  <si>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</si>
  <si>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</si>
  <si>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</si>
  <si>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</si>
  <si>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</si>
  <si>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</si>
  <si>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</si>
  <si>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</si>
  <si>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</si>
  <si>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</si>
  <si>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</si>
  <si>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</si>
  <si>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</si>
  <si>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</si>
  <si>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</si>
  <si>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</si>
  <si>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</si>
  <si>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</si>
  <si>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</si>
  <si>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</si>
  <si>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</si>
  <si>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</si>
  <si>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</si>
  <si>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</si>
  <si>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</si>
  <si>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</si>
  <si>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</si>
  <si>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</si>
  <si>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</si>
  <si>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</si>
  <si>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</si>
  <si>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</si>
  <si>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</si>
  <si>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</si>
  <si>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</si>
  <si>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</si>
  <si>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</si>
  <si>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</si>
  <si>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</si>
  <si>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</si>
  <si>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</si>
  <si>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</si>
  <si>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</si>
  <si>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</si>
  <si>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</si>
  <si>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</si>
  <si>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</si>
  <si>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</si>
  <si>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</si>
  <si>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</si>
  <si>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</si>
  <si>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</si>
  <si>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</si>
  <si>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</si>
  <si>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</si>
  <si>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</si>
  <si>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</si>
  <si>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</si>
  <si>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</si>
  <si>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</si>
  <si>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</si>
  <si>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</si>
  <si>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</si>
  <si>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</si>
  <si>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</si>
  <si>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</si>
  <si>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</si>
  <si>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</si>
  <si>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</si>
  <si>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</si>
  <si>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</si>
  <si>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</si>
  <si>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</si>
  <si>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</si>
  <si>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</si>
  <si>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</si>
  <si>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</si>
  <si>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</si>
  <si>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</si>
  <si>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</si>
  <si>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</si>
  <si>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</si>
  <si>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</si>
  <si>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</si>
  <si>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</si>
  <si>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</si>
  <si>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</si>
  <si>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</si>
  <si>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</si>
  <si>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</si>
  <si>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</si>
  <si>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</si>
  <si>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</si>
  <si>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</si>
  <si>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</si>
  <si>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</si>
  <si>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</si>
  <si>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</si>
  <si>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</si>
  <si>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</si>
  <si>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</si>
  <si>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</si>
  <si>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</si>
  <si>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</si>
  <si>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</si>
  <si>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</si>
  <si>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</si>
  <si>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</si>
  <si>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</si>
  <si>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</si>
  <si>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</si>
  <si>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</si>
  <si>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</si>
  <si>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</si>
  <si>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</si>
  <si>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</si>
  <si>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</si>
  <si>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</si>
  <si>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</si>
  <si>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</si>
  <si>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</si>
  <si>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</si>
  <si>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</si>
  <si>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</si>
  <si>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</si>
  <si>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</si>
  <si>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</si>
  <si>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</si>
  <si>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</si>
  <si>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</si>
  <si>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</si>
  <si>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</si>
  <si>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</si>
  <si>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</si>
  <si>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</si>
  <si>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</si>
  <si>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</si>
  <si>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</si>
  <si>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</si>
  <si>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</si>
  <si>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</si>
  <si>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</si>
  <si>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</si>
  <si>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</si>
  <si>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</si>
  <si>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</si>
  <si>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</si>
  <si>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</si>
  <si>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</si>
  <si>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</si>
  <si>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</si>
  <si>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</si>
  <si>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</si>
  <si>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</si>
  <si>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</si>
  <si>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</si>
  <si>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</si>
  <si>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</si>
  <si>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</si>
  <si>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</si>
  <si>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</si>
  <si>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</si>
  <si>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</si>
  <si>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</si>
  <si>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</si>
  <si>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</si>
  <si>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</si>
  <si>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</si>
  <si>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</si>
  <si>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</si>
  <si>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</si>
  <si>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</si>
  <si>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</si>
  <si>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</si>
  <si>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</si>
  <si>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</si>
  <si>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</si>
  <si>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</si>
  <si>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</si>
  <si>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</si>
  <si>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</si>
  <si>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</si>
  <si>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</si>
  <si>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</si>
  <si>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</si>
  <si>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</si>
  <si>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</si>
  <si>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</si>
  <si>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</si>
  <si>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</si>
  <si>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</si>
  <si>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</si>
  <si>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</si>
  <si>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</si>
  <si>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</si>
  <si>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</si>
  <si>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</si>
  <si>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</si>
  <si>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</si>
  <si>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</si>
  <si>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</si>
  <si>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</si>
  <si>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</si>
  <si>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</si>
  <si>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</si>
  <si>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</si>
  <si>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</si>
  <si>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</si>
  <si>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</si>
  <si>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</si>
  <si>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</si>
  <si>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</si>
  <si>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</si>
  <si>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</si>
  <si>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</si>
  <si>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</si>
  <si>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</si>
  <si>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</si>
  <si>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</si>
  <si>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</si>
  <si>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</si>
  <si>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</si>
  <si>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</si>
  <si>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</si>
  <si>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</si>
  <si>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</si>
  <si>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</si>
  <si>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</si>
  <si>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</si>
  <si>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</si>
  <si>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</si>
  <si>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</si>
  <si>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</si>
  <si>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</si>
  <si>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</si>
  <si>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</si>
  <si>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</si>
  <si>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</si>
  <si>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</si>
  <si>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</si>
  <si>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</si>
  <si>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</si>
  <si>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</si>
  <si>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</si>
  <si>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</si>
  <si>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</si>
  <si>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</si>
  <si>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</si>
  <si>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</si>
  <si>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</si>
  <si>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</si>
  <si>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</si>
  <si>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</si>
  <si>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</si>
  <si>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</si>
  <si>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</si>
  <si>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</si>
  <si>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</si>
  <si>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</si>
  <si>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</si>
  <si>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</si>
  <si>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</si>
  <si>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</si>
  <si>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</si>
  <si>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</si>
  <si>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</si>
  <si>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</si>
  <si>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</si>
  <si>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</si>
  <si>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</si>
  <si>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</si>
  <si>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</si>
  <si>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</si>
  <si>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</si>
  <si>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</si>
  <si>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</si>
  <si>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</si>
  <si>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</si>
  <si>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</si>
  <si>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</si>
  <si>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</si>
  <si>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</si>
  <si>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</si>
  <si>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</si>
  <si>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</si>
  <si>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</si>
  <si>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</si>
  <si>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</si>
  <si>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</si>
  <si>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</si>
  <si>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</si>
  <si>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</si>
  <si>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</si>
  <si>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</si>
  <si>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</si>
  <si>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</si>
  <si>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</si>
  <si>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</si>
  <si>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</si>
  <si>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</si>
  <si>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</si>
  <si>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</si>
  <si>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</si>
  <si>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</si>
  <si>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</si>
  <si>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</si>
  <si>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</si>
  <si>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</si>
  <si>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</si>
  <si>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</si>
  <si>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</si>
  <si>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</si>
  <si>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</si>
  <si>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</si>
  <si>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</si>
  <si>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</si>
  <si>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</si>
  <si>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</si>
  <si>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</si>
  <si>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</si>
  <si>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</si>
  <si>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</si>
  <si>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</si>
  <si>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</si>
  <si>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</si>
  <si>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</si>
  <si>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</si>
  <si>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</si>
  <si>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</si>
  <si>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</si>
  <si>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</si>
  <si>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</si>
  <si>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</si>
  <si>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</si>
  <si>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</si>
  <si>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</si>
  <si>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</si>
  <si>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</si>
  <si>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</si>
  <si>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</si>
  <si>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</si>
  <si>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</si>
  <si>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</si>
  <si>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</si>
  <si>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</si>
  <si>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</si>
  <si>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</si>
  <si>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</si>
  <si>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</si>
  <si>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</si>
  <si>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</si>
  <si>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</si>
  <si>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</si>
  <si>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</si>
  <si>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</si>
  <si>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</si>
  <si>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</si>
  <si>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</si>
  <si>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</si>
  <si>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</si>
  <si>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</si>
  <si>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</si>
  <si>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</si>
  <si>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</si>
  <si>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</si>
  <si>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</si>
  <si>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</si>
  <si>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</si>
  <si>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</si>
  <si>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</si>
  <si>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</si>
  <si>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</si>
  <si>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</si>
  <si>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</si>
  <si>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</si>
  <si>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</si>
  <si>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</si>
  <si>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</si>
  <si>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</si>
  <si>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</si>
  <si>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</si>
  <si>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</si>
  <si>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</si>
  <si>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</si>
  <si>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</si>
  <si>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</si>
  <si>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</si>
  <si>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</si>
  <si>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</si>
  <si>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</si>
  <si>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</si>
  <si>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</si>
  <si>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</si>
  <si>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</si>
  <si>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</si>
  <si>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</si>
  <si>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</si>
  <si>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</si>
  <si>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</si>
  <si>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</si>
  <si>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</si>
  <si>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</si>
  <si>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</si>
  <si>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</si>
  <si>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</si>
  <si>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</si>
  <si>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</si>
  <si>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</si>
  <si>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</si>
  <si>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</si>
  <si>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</si>
  <si>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</si>
  <si>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</si>
  <si>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</si>
  <si>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</si>
  <si>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</si>
  <si>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</si>
  <si>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</si>
  <si>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</si>
  <si>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</si>
  <si>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</si>
  <si>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</si>
  <si>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</si>
  <si>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</si>
  <si>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</si>
  <si>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</si>
  <si>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</si>
  <si>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</si>
  <si>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</si>
  <si>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</si>
  <si>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</si>
  <si>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</si>
  <si>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</si>
  <si>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</si>
  <si>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</si>
  <si>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</si>
  <si>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</si>
  <si>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</si>
  <si>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</si>
  <si>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</si>
  <si>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</si>
  <si>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</si>
  <si>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</si>
  <si>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</si>
  <si>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</si>
  <si>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</si>
  <si>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</si>
  <si>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</si>
  <si>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</si>
  <si>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</si>
  <si>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</si>
  <si>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</si>
  <si>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</si>
  <si>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</si>
  <si>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</si>
  <si>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</si>
  <si>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</si>
  <si>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</si>
  <si>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</si>
  <si>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</si>
  <si>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</si>
  <si>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</si>
  <si>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</si>
  <si>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</si>
  <si>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</si>
  <si>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</si>
  <si>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</si>
  <si>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</si>
  <si>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</si>
  <si>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</si>
  <si>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</si>
  <si>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</si>
  <si>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</si>
  <si>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</si>
  <si>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</si>
  <si>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</si>
  <si>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</si>
  <si>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</si>
  <si>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</si>
  <si>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</si>
  <si>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</si>
  <si>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</si>
  <si>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</si>
  <si>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</si>
  <si>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</si>
  <si>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</si>
  <si>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</si>
  <si>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</si>
  <si>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</si>
  <si>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</si>
  <si>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</si>
  <si>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</si>
  <si>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</si>
  <si>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</si>
  <si>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</si>
  <si>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</si>
  <si>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</si>
  <si>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</si>
  <si>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</si>
  <si>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</si>
  <si>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</si>
  <si>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</si>
  <si>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</si>
  <si>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</si>
  <si>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</si>
  <si>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</si>
  <si>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</si>
  <si>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</si>
  <si>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</si>
  <si>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</si>
  <si>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</si>
  <si>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</si>
  <si>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</si>
  <si>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</si>
  <si>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</si>
  <si>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</si>
  <si>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</si>
  <si>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</si>
  <si>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</si>
  <si>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</si>
  <si>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</si>
  <si>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</si>
  <si>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</si>
  <si>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</si>
  <si>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</si>
  <si>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</si>
  <si>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</si>
  <si>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</si>
  <si>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</si>
  <si>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</si>
  <si>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</si>
  <si>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</si>
  <si>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</si>
  <si>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</si>
  <si>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</si>
  <si>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</si>
  <si>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</si>
  <si>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</si>
  <si>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</si>
  <si>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</si>
  <si>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</si>
  <si>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</si>
  <si>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</si>
  <si>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</si>
  <si>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</si>
  <si>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</si>
  <si>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</si>
  <si>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</si>
  <si>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</si>
  <si>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</si>
  <si>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</si>
  <si>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</si>
  <si>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</si>
  <si>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</si>
  <si>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</si>
  <si>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</si>
  <si>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</si>
  <si>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</si>
  <si>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</si>
  <si>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</si>
  <si>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</si>
  <si>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</si>
  <si>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</si>
  <si>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</si>
  <si>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</si>
  <si>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</si>
  <si>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</si>
  <si>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</si>
  <si>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</si>
  <si>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</si>
  <si>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</si>
  <si>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</si>
  <si>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</si>
  <si>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</si>
  <si>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</si>
  <si>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</si>
  <si>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</si>
  <si>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</si>
  <si>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</si>
  <si>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</si>
  <si>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</si>
  <si>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</si>
  <si>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</si>
  <si>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</si>
  <si>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</si>
  <si>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</si>
  <si>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</si>
  <si>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</si>
  <si>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</si>
  <si>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</si>
  <si>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</si>
  <si>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</si>
  <si>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</si>
  <si>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</si>
  <si>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</si>
  <si>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</si>
  <si>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</si>
  <si>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</si>
  <si>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</si>
  <si>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</si>
  <si>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</si>
  <si>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</si>
  <si>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</si>
  <si>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</si>
  <si>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</si>
  <si>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</si>
  <si>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</si>
  <si>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</si>
  <si>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</si>
  <si>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</si>
  <si>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</si>
  <si>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</si>
  <si>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</si>
  <si>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</si>
  <si>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</si>
  <si>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</si>
  <si>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</si>
  <si>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</si>
  <si>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</si>
  <si>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</si>
  <si>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</si>
  <si>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</si>
  <si>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</si>
  <si>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</si>
  <si>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</si>
  <si>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</si>
  <si>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</si>
  <si>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</si>
  <si>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</si>
  <si>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</si>
  <si>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</si>
  <si>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</si>
  <si>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</si>
  <si>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</si>
  <si>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</si>
  <si>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</si>
  <si>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</si>
  <si>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</si>
  <si>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</si>
  <si>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</si>
  <si>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</si>
  <si>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</si>
  <si>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</si>
  <si>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</si>
  <si>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</si>
  <si>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</si>
  <si>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</si>
  <si>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</si>
  <si>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</si>
  <si>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</si>
  <si>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</si>
  <si>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</si>
  <si>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</si>
  <si>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</si>
  <si>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</si>
  <si>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</si>
  <si>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</si>
  <si>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</si>
  <si>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</si>
  <si>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</si>
  <si>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</si>
  <si>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</si>
  <si>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</si>
  <si>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</si>
  <si>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</si>
  <si>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</si>
  <si>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</si>
  <si>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</si>
  <si>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</si>
  <si>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</si>
  <si>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</si>
  <si>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</si>
  <si>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</si>
  <si>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</si>
  <si>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</si>
  <si>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</si>
  <si>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</si>
  <si>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</si>
  <si>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</si>
  <si>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</si>
  <si>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</si>
  <si>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</si>
  <si>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</si>
  <si>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</si>
  <si>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</si>
  <si>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</si>
  <si>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</si>
  <si>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</si>
  <si>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</si>
  <si>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</si>
  <si>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</si>
  <si>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</si>
  <si>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</si>
  <si>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</si>
  <si>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</si>
  <si>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</si>
  <si>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</si>
  <si>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</si>
  <si>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</si>
  <si>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</si>
  <si>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</si>
  <si>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</si>
  <si>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</si>
  <si>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</si>
  <si>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</si>
  <si>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</si>
  <si>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</si>
  <si>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</si>
  <si>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</si>
  <si>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</si>
  <si>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</si>
  <si>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</si>
  <si>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</si>
  <si>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</si>
  <si>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</si>
  <si>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</si>
  <si>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</si>
  <si>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</si>
  <si>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</si>
  <si>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</si>
  <si>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</si>
  <si>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</si>
  <si>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</si>
  <si>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</si>
  <si>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</si>
  <si>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</si>
  <si>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</si>
  <si>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</si>
  <si>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</si>
  <si>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</si>
  <si>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</si>
  <si>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</si>
  <si>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</si>
  <si>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</si>
  <si>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</si>
  <si>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</si>
  <si>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</si>
  <si>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</si>
  <si>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</si>
  <si>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</si>
  <si>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</si>
  <si>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</si>
  <si>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</si>
  <si>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</si>
  <si>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</si>
  <si>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</si>
  <si>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</si>
  <si>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</si>
  <si>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</si>
  <si>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</si>
  <si>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</si>
  <si>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</si>
  <si>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</si>
  <si>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</si>
  <si>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</si>
  <si>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</si>
  <si>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</si>
  <si>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</si>
  <si>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</si>
  <si>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</si>
  <si>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</si>
  <si>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</si>
  <si>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</si>
  <si>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</si>
  <si>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</si>
  <si>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</si>
  <si>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</si>
  <si>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</si>
  <si>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</si>
  <si>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</si>
  <si>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</si>
  <si>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</si>
  <si>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</si>
  <si>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</si>
  <si>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</si>
  <si>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</si>
  <si>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</si>
  <si>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</si>
  <si>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</si>
  <si>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</si>
  <si>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</si>
  <si>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</si>
  <si>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</si>
  <si>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</si>
  <si>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</si>
  <si>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</si>
  <si>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</si>
  <si>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</si>
  <si>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</si>
  <si>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</si>
  <si>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</si>
  <si>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</si>
  <si>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</si>
  <si>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</si>
  <si>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</si>
  <si>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</si>
  <si>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</si>
  <si>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</si>
  <si>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</si>
  <si>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</si>
  <si>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</si>
  <si>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</si>
  <si>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</si>
  <si>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</si>
  <si>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</si>
  <si>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</si>
  <si>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</si>
  <si>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</si>
  <si>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</si>
  <si>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</si>
  <si>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</si>
  <si>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</si>
  <si>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</si>
  <si>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</si>
  <si>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</si>
  <si>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</si>
  <si>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</si>
  <si>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</si>
  <si>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</si>
  <si>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</si>
  <si>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</si>
  <si>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</si>
  <si>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</si>
  <si>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</si>
  <si>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</si>
  <si>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</si>
  <si>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</si>
  <si>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</si>
  <si>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</si>
  <si>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</si>
  <si>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</si>
  <si>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</si>
  <si>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</si>
  <si>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</si>
  <si>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</si>
  <si>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</si>
  <si>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</si>
  <si>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</si>
  <si>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</si>
  <si>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</si>
  <si>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</si>
  <si>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</si>
  <si>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</si>
  <si>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</si>
  <si>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</si>
  <si>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</si>
  <si>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</si>
  <si>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</si>
  <si>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</si>
  <si>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</si>
  <si>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</si>
  <si>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</si>
  <si>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</si>
  <si>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</si>
  <si>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</si>
  <si>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</si>
  <si>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</si>
  <si>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</si>
  <si>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</si>
  <si>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</si>
  <si>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</si>
  <si>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</si>
  <si>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</si>
  <si>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</si>
  <si>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</si>
  <si>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</si>
  <si>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</si>
  <si>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</si>
  <si>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</si>
  <si>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</si>
  <si>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</si>
  <si>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</si>
  <si>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</si>
  <si>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</si>
  <si>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</si>
  <si>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</si>
  <si>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</si>
  <si>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</si>
  <si>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</si>
  <si>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</si>
  <si>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</si>
  <si>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</si>
  <si>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</si>
  <si>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</si>
  <si>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</si>
  <si>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</si>
  <si>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</si>
  <si>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</si>
  <si>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</si>
  <si>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</si>
  <si>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</si>
  <si>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</si>
  <si>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</si>
  <si>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</si>
  <si>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</si>
  <si>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</si>
  <si>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</si>
  <si>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</si>
  <si>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</si>
  <si>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</si>
  <si>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</si>
  <si>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</si>
  <si>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</si>
  <si>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</si>
  <si>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</si>
  <si>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</si>
  <si>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</si>
  <si>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</si>
  <si>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</si>
  <si>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</si>
  <si>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</si>
  <si>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</si>
  <si>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</si>
  <si>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</si>
  <si>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</si>
  <si>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</si>
  <si>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</si>
  <si>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</si>
  <si>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</si>
  <si>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</si>
  <si>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</si>
  <si>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</si>
  <si>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</si>
  <si>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</si>
  <si>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</si>
  <si>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</si>
  <si>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</si>
  <si>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</si>
  <si>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</si>
  <si>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</si>
  <si>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</si>
  <si>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</si>
  <si>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</si>
  <si>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</si>
  <si>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</si>
  <si>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</si>
  <si>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</si>
  <si>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</si>
  <si>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</si>
  <si>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</si>
  <si>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</si>
  <si>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</si>
  <si>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</si>
  <si>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</si>
  <si>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</si>
  <si>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</si>
  <si>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</si>
  <si>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</si>
  <si>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</si>
  <si>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</si>
  <si>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</si>
  <si>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</si>
  <si>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</si>
  <si>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</si>
  <si>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</si>
  <si>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</si>
  <si>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</si>
  <si>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</si>
  <si>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</si>
  <si>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</si>
  <si>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</si>
  <si>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</si>
  <si>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</si>
  <si>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</si>
  <si>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</si>
  <si>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</si>
  <si>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</si>
  <si>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</si>
  <si>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</si>
  <si>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</si>
  <si>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</si>
  <si>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</si>
  <si>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</si>
  <si>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</si>
  <si>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</si>
  <si>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</si>
  <si>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</si>
  <si>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</si>
  <si>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</si>
  <si>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</si>
  <si>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</si>
  <si>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</si>
  <si>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</si>
  <si>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</si>
  <si>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</si>
  <si>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</si>
  <si>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</si>
  <si>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</si>
  <si>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</si>
  <si>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</si>
  <si>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</si>
  <si>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</si>
  <si>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</si>
  <si>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</si>
  <si>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</si>
  <si>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</si>
  <si>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</si>
  <si>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</si>
  <si>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</si>
  <si>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</si>
  <si>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</si>
  <si>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</si>
  <si>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</si>
  <si>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</si>
  <si>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</si>
  <si>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</si>
  <si>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</si>
  <si>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</si>
  <si>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</si>
  <si>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</si>
  <si>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</si>
  <si>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</si>
  <si>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</si>
  <si>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</si>
  <si>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</si>
  <si>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</si>
  <si>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</si>
  <si>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</si>
  <si>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</si>
  <si>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</si>
  <si>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</si>
  <si>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</si>
  <si>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</si>
  <si>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</si>
  <si>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</si>
  <si>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</si>
  <si>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</si>
  <si>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</si>
  <si>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</si>
  <si>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</si>
  <si>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</si>
  <si>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</si>
  <si>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</si>
  <si>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</si>
  <si>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</si>
  <si>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</si>
  <si>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</si>
  <si>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</si>
  <si>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</si>
  <si>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</si>
  <si>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</si>
  <si>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</si>
  <si>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</si>
  <si>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</si>
  <si>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</si>
  <si>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</si>
  <si>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</si>
  <si>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</si>
  <si>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</si>
  <si>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</si>
  <si>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</si>
  <si>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</si>
  <si>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</si>
  <si>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</si>
  <si>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</si>
  <si>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</si>
  <si>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</si>
  <si>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</si>
  <si>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</si>
  <si>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</si>
  <si>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</si>
  <si>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</si>
  <si>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</si>
  <si>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</si>
  <si>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</si>
  <si>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</si>
  <si>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</si>
  <si>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</si>
  <si>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</si>
  <si>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</si>
  <si>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</si>
  <si>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</si>
  <si>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</si>
  <si>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</si>
  <si>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</si>
  <si>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</si>
  <si>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</si>
  <si>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</si>
  <si>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</si>
  <si>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</si>
  <si>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</si>
  <si>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</si>
  <si>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</si>
  <si>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</si>
  <si>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</si>
  <si>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</si>
  <si>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</si>
  <si>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</si>
  <si>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</si>
  <si>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</si>
  <si>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</si>
  <si>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</si>
  <si>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</si>
  <si>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</si>
  <si>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</si>
  <si>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</si>
  <si>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</si>
  <si>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</si>
  <si>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</si>
  <si>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</si>
  <si>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</si>
  <si>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</si>
  <si>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</si>
  <si>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</si>
  <si>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</si>
  <si>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</si>
  <si>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</si>
  <si>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</si>
  <si>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</si>
  <si>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</si>
  <si>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</si>
  <si>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</si>
  <si>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</si>
  <si>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</si>
  <si>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</si>
  <si>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</si>
  <si>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</si>
  <si>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</si>
  <si>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</si>
  <si>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</si>
  <si>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</si>
  <si>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</si>
  <si>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</si>
  <si>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</si>
  <si>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</si>
  <si>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</si>
  <si>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</si>
  <si>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</si>
  <si>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</si>
  <si>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</si>
  <si>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</si>
  <si>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</si>
  <si>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</si>
  <si>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</si>
  <si>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</si>
  <si>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</si>
  <si>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</si>
  <si>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</si>
  <si>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</si>
  <si>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</si>
  <si>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</si>
  <si>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</si>
  <si>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</si>
  <si>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</si>
  <si>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</si>
  <si>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</si>
  <si>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</si>
  <si>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</si>
  <si>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</si>
  <si>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</si>
  <si>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</si>
  <si>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</si>
  <si>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</si>
  <si>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</si>
  <si>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</si>
  <si>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</si>
  <si>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</si>
  <si>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</si>
  <si>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</si>
  <si>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</si>
  <si>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</si>
  <si>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</si>
  <si>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</si>
  <si>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</si>
  <si>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</si>
  <si>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</si>
  <si>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</si>
  <si>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</si>
  <si>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</si>
  <si>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</si>
  <si>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</si>
  <si>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</si>
  <si>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</si>
  <si>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</si>
  <si>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</si>
  <si>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</si>
  <si>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</si>
  <si>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</si>
  <si>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</si>
  <si>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</si>
  <si>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</si>
  <si>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</si>
  <si>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</si>
  <si>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</si>
  <si>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</si>
  <si>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</si>
  <si>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</si>
  <si>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</si>
  <si>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</si>
  <si>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</si>
  <si>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</si>
  <si>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</si>
  <si>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</si>
  <si>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</si>
  <si>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</si>
  <si>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</si>
  <si>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</si>
  <si>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</si>
  <si>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</si>
  <si>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</si>
  <si>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</si>
  <si>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</si>
  <si>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</si>
  <si>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</si>
  <si>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</si>
  <si>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</si>
  <si>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</si>
  <si>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</si>
  <si>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</si>
  <si>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</si>
  <si>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</si>
  <si>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</si>
  <si>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</si>
  <si>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</si>
  <si>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</si>
  <si>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</si>
  <si>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</si>
  <si>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</si>
  <si>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</si>
  <si>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</si>
  <si>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</si>
  <si>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</si>
  <si>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</si>
  <si>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</si>
  <si>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</si>
  <si>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</si>
  <si>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</si>
  <si>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</si>
  <si>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</si>
  <si>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</si>
  <si>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</si>
  <si>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</si>
  <si>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</si>
  <si>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</si>
  <si>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</si>
  <si>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</si>
  <si>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</si>
  <si>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</si>
  <si>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</si>
  <si>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</si>
  <si>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</si>
  <si>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</si>
  <si>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</si>
  <si>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</si>
  <si>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</si>
  <si>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</si>
  <si>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</si>
  <si>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</si>
  <si>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</si>
  <si>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</si>
  <si>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</si>
  <si>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</si>
  <si>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</si>
  <si>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</si>
  <si>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</si>
  <si>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</si>
  <si>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</si>
  <si>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</si>
  <si>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</si>
  <si>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</si>
  <si>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</si>
  <si>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</si>
  <si>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</si>
  <si>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</si>
  <si>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</si>
  <si>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</si>
  <si>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</si>
  <si>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</si>
  <si>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</si>
  <si>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</si>
  <si>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</si>
  <si>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</si>
  <si>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</si>
  <si>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</si>
  <si>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</si>
  <si>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</si>
  <si>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</si>
  <si>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</si>
  <si>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</si>
  <si>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</si>
  <si>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</si>
  <si>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</si>
  <si>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</si>
  <si>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</si>
  <si>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</si>
  <si>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</si>
  <si>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</si>
  <si>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</si>
  <si>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</si>
  <si>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</si>
  <si>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</si>
  <si>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</si>
  <si>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</si>
  <si>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</si>
  <si>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</si>
  <si>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</si>
  <si>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</si>
  <si>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</si>
  <si>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</si>
  <si>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</si>
  <si>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</si>
  <si>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</si>
  <si>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</si>
  <si>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</si>
  <si>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</si>
  <si>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</si>
  <si>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</si>
  <si>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</si>
  <si>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</si>
  <si>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</si>
  <si>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</si>
  <si>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</si>
  <si>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</si>
  <si>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</si>
  <si>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</si>
  <si>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</si>
  <si>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</si>
  <si>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</si>
  <si>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</si>
  <si>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</si>
  <si>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</si>
  <si>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</si>
  <si>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</si>
  <si>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</si>
  <si>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</si>
  <si>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</si>
  <si>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</si>
  <si>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</si>
  <si>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</si>
  <si>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</si>
  <si>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</si>
  <si>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</si>
  <si>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</si>
  <si>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</si>
  <si>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</si>
  <si>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</si>
  <si>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</si>
  <si>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</si>
  <si>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</si>
  <si>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</si>
  <si>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</si>
  <si>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</si>
  <si>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</si>
  <si>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</si>
  <si>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</si>
  <si>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</si>
  <si>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</si>
  <si>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</si>
  <si>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</si>
  <si>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</si>
  <si>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</si>
  <si>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</si>
  <si>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</si>
  <si>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</si>
  <si>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</si>
  <si>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</si>
  <si>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</si>
  <si>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</si>
  <si>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</si>
  <si>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</si>
  <si>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</si>
  <si>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</si>
  <si>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</si>
  <si>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</si>
  <si>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</si>
  <si>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</si>
  <si>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</si>
  <si>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</si>
  <si>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</si>
  <si>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</si>
  <si>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</si>
  <si>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</si>
  <si>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</si>
  <si>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</si>
  <si>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</si>
  <si>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</si>
  <si>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</si>
  <si>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</si>
  <si>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</si>
  <si>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</si>
  <si>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</si>
  <si>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</si>
  <si>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</si>
  <si>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</si>
  <si>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</si>
  <si>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</si>
  <si>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</si>
  <si>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</si>
  <si>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</si>
  <si>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</si>
  <si>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</si>
  <si>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</si>
  <si>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</si>
  <si>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</si>
  <si>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</si>
  <si>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</si>
  <si>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</si>
  <si>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</si>
  <si>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</si>
  <si>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</si>
  <si>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</si>
  <si>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</si>
  <si>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</si>
  <si>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</si>
  <si>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</si>
  <si>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</si>
  <si>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</si>
  <si>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</si>
  <si>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</si>
  <si>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</si>
  <si>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</si>
  <si>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</si>
  <si>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</si>
  <si>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</si>
  <si>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</si>
  <si>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</si>
  <si>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</si>
  <si>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</si>
  <si>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</si>
  <si>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</si>
  <si>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</si>
  <si>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</si>
  <si>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</si>
  <si>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</si>
  <si>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</si>
  <si>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</si>
  <si>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</si>
  <si>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</si>
  <si>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</si>
  <si>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</si>
  <si>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</si>
  <si>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</si>
  <si>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</si>
  <si>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</si>
  <si>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</si>
  <si>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</si>
  <si>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</si>
  <si>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</si>
  <si>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</si>
  <si>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</si>
  <si>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</si>
  <si>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</si>
  <si>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</si>
  <si>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</si>
  <si>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</si>
  <si>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</si>
  <si>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</si>
  <si>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</si>
  <si>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</si>
  <si>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</si>
  <si>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</si>
  <si>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</si>
  <si>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</si>
  <si>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</si>
  <si>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</si>
  <si>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</si>
  <si>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</si>
  <si>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</si>
  <si>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</si>
  <si>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</si>
  <si>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</si>
  <si>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</si>
  <si>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</si>
  <si>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</si>
  <si>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</si>
  <si>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</si>
  <si>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</si>
  <si>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</si>
  <si>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</si>
  <si>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</si>
  <si>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</si>
  <si>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</si>
  <si>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</si>
  <si>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</si>
  <si>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</si>
  <si>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</si>
  <si>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</si>
  <si>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</si>
  <si>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</si>
  <si>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</si>
  <si>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</si>
  <si>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</si>
  <si>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</si>
  <si>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</si>
  <si>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</si>
  <si>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</si>
  <si>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</si>
  <si>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</si>
  <si>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</si>
  <si>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</si>
  <si>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</si>
  <si>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</si>
  <si>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</si>
  <si>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</si>
  <si>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</si>
  <si>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</si>
  <si>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</si>
  <si>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</si>
  <si>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</si>
  <si>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</si>
  <si>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</si>
  <si>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</si>
  <si>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</si>
  <si>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</si>
  <si>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</si>
  <si>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</si>
  <si>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</si>
  <si>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</si>
  <si>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</si>
  <si>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</si>
  <si>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</si>
  <si>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</si>
  <si>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</si>
  <si>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</si>
  <si>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</si>
  <si>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</si>
  <si>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</si>
  <si>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</si>
  <si>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</si>
  <si>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</si>
  <si>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</si>
  <si>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</si>
  <si>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</si>
  <si>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</si>
  <si>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</si>
  <si>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</si>
  <si>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</si>
  <si>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</si>
  <si>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</si>
  <si>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</si>
  <si>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</si>
  <si>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</si>
  <si>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</si>
  <si>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</si>
  <si>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</si>
  <si>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</si>
  <si>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</si>
  <si>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</si>
  <si>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</si>
  <si>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</si>
  <si>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</si>
  <si>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</si>
  <si>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</si>
  <si>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</si>
  <si>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</si>
  <si>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</si>
  <si>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</si>
  <si>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</si>
  <si>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</si>
  <si>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</si>
  <si>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</si>
  <si>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</si>
  <si>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</si>
  <si>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</si>
  <si>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</si>
  <si>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</si>
  <si>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</si>
  <si>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</si>
  <si>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</si>
  <si>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</si>
  <si>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</si>
  <si>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</si>
  <si>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</si>
  <si>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</si>
  <si>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</si>
  <si>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</si>
  <si>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</si>
  <si>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</si>
  <si>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</si>
  <si>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</si>
  <si>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</si>
  <si>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</si>
  <si>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</si>
  <si>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</si>
  <si>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</si>
  <si>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</si>
  <si>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</si>
  <si>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</si>
  <si>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</si>
  <si>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</si>
  <si>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</si>
  <si>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</si>
  <si>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</si>
  <si>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</si>
  <si>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</si>
  <si>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</si>
  <si>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</si>
  <si>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</si>
  <si>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</si>
  <si>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</si>
  <si>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</si>
  <si>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</si>
  <si>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</si>
  <si>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</si>
  <si>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</si>
  <si>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</si>
  <si>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</si>
  <si>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</si>
  <si>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</si>
  <si>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</si>
  <si>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</si>
  <si>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</si>
  <si>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</si>
  <si>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</si>
  <si>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</si>
  <si>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</si>
  <si>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</si>
  <si>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</si>
  <si>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</si>
  <si>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</si>
  <si>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</si>
  <si>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</si>
  <si>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</si>
  <si>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</si>
  <si>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</si>
  <si>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</si>
  <si>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</si>
  <si>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</si>
  <si>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</si>
  <si>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</si>
  <si>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</si>
  <si>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</si>
  <si>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</si>
  <si>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</si>
  <si>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</si>
  <si>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</si>
  <si>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</si>
  <si>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</si>
  <si>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</si>
  <si>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</si>
  <si>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</si>
  <si>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</si>
  <si>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</si>
  <si>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</si>
  <si>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</si>
  <si>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</si>
  <si>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</si>
  <si>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</si>
  <si>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</si>
  <si>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</si>
  <si>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</si>
  <si>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</si>
  <si>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</si>
  <si>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</si>
  <si>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</si>
  <si>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</si>
  <si>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</si>
  <si>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</si>
  <si>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</si>
  <si>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</si>
  <si>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</si>
  <si>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</si>
  <si>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</si>
  <si>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</si>
  <si>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</si>
  <si>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</si>
  <si>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</si>
  <si>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</si>
  <si>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</si>
  <si>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</si>
  <si>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</si>
  <si>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</si>
  <si>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</si>
  <si>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</si>
  <si>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</si>
  <si>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</si>
  <si>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</si>
  <si>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</si>
  <si>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</si>
  <si>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</si>
  <si>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</si>
  <si>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</si>
  <si>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</si>
  <si>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</si>
  <si>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</si>
  <si>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</si>
  <si>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</si>
  <si>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</si>
  <si>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</si>
  <si>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</si>
  <si>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</si>
  <si>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</si>
  <si>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</si>
  <si>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</si>
  <si>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</si>
  <si>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</si>
  <si>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</si>
  <si>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</si>
  <si>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</si>
  <si>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</si>
  <si>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</si>
  <si>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</si>
  <si>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</si>
  <si>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</si>
  <si>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</si>
  <si>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</si>
  <si>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</si>
  <si>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</si>
  <si>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</si>
  <si>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</si>
  <si>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</si>
  <si>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</si>
  <si>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</si>
  <si>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</si>
  <si>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</si>
  <si>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</si>
  <si>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</si>
  <si>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</si>
  <si>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</si>
  <si>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</si>
  <si>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</si>
  <si>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</si>
  <si>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</si>
  <si>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</si>
  <si>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</si>
  <si>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</si>
  <si>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</si>
  <si>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</si>
  <si>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</si>
  <si>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</si>
  <si>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</si>
  <si>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</si>
  <si>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</si>
  <si>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</si>
  <si>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</si>
  <si>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</si>
  <si>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</si>
  <si>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</si>
  <si>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</si>
  <si>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</si>
  <si>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</si>
  <si>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</si>
  <si>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</si>
  <si>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</si>
  <si>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</si>
  <si>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</si>
  <si>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</si>
  <si>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</si>
  <si>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</si>
  <si>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</si>
  <si>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</si>
  <si>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</si>
  <si>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</si>
  <si>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</si>
  <si>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</si>
  <si>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KENDALL</t>
  </si>
  <si>
    <t>800 SOUTH HALE STREET</t>
  </si>
  <si>
    <t>PLANO</t>
  </si>
  <si>
    <t>TONY BAKER</t>
  </si>
  <si>
    <t>tbaker@plano88.org</t>
  </si>
  <si>
    <t xml:space="preserve">630-522-8978  
</t>
  </si>
  <si>
    <t xml:space="preserve">630-522-8548    
</t>
  </si>
  <si>
    <t>alee@pasec.net</t>
  </si>
  <si>
    <t>Lauterbach &amp; Amen</t>
  </si>
  <si>
    <t>Don Shaw</t>
  </si>
  <si>
    <t>668 N. River Rd</t>
  </si>
  <si>
    <t>Naperville</t>
  </si>
  <si>
    <t>IL</t>
  </si>
  <si>
    <t>065-037815</t>
  </si>
  <si>
    <t>dshaw@lauterbachamen.com</t>
  </si>
  <si>
    <t>Yorkville CUSD #115, Oswego CUSD #308</t>
  </si>
  <si>
    <t>Plano Area Special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</si>
</sst>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wrapText="1"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wrapText="1"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3" t="s">
        <v>405</v>
      </c>
      <c r="J1" s="2014"/>
      <c r="K1" s="2014"/>
      <c r="L1" s="2014"/>
      <c r="M1" s="2014"/>
      <c r="N1" s="2014"/>
      <c r="O1" s="2014"/>
      <c r="P1" s="2014"/>
      <c r="Q1" s="2014"/>
      <c r="R1" s="2014"/>
      <c r="S1" s="2014"/>
    </row>
    <row r="2" spans="1:28" ht="12" customHeight="1" x14ac:dyDescent="0.2">
      <c r="A2" s="47" t="s">
        <v>1993</v>
      </c>
      <c r="D2" s="48"/>
      <c r="I2" s="2015" t="s">
        <v>979</v>
      </c>
      <c r="J2" s="2014"/>
      <c r="K2" s="2014"/>
      <c r="L2" s="2014"/>
      <c r="M2" s="2014"/>
      <c r="N2" s="2014"/>
      <c r="O2" s="2014"/>
      <c r="P2" s="2014"/>
      <c r="Q2" s="2014"/>
      <c r="R2" s="2014"/>
      <c r="S2" s="2014"/>
    </row>
    <row r="3" spans="1:28" ht="12" customHeight="1" x14ac:dyDescent="0.2">
      <c r="A3" s="155" t="s">
        <v>1945</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c r="C5" s="26" t="s">
        <v>910</v>
      </c>
      <c r="D5" s="84"/>
      <c r="E5" s="84"/>
      <c r="H5" s="38"/>
      <c r="I5" s="2022" t="s">
        <v>680</v>
      </c>
      <c r="J5" s="1967"/>
      <c r="K5" s="1967"/>
      <c r="L5" s="1967"/>
      <c r="M5" s="1967"/>
      <c r="N5" s="1967"/>
      <c r="O5" s="1967"/>
      <c r="P5" s="1967"/>
      <c r="Q5" s="1967"/>
      <c r="R5" s="1967"/>
      <c r="S5" s="1967"/>
    </row>
    <row r="6" spans="1:28" ht="14.1" customHeight="1" x14ac:dyDescent="0.2">
      <c r="B6" s="104" t="s">
        <v>2064</v>
      </c>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2064</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24047088061</v>
      </c>
      <c r="B13" s="1984"/>
      <c r="C13" s="1984"/>
      <c r="D13" s="1984"/>
      <c r="E13" s="1984"/>
      <c r="F13" s="1984"/>
      <c r="G13" s="1984"/>
      <c r="H13" s="1985"/>
      <c r="I13" s="31"/>
      <c r="J13" s="30"/>
      <c r="K13" s="28"/>
      <c r="L13" s="30"/>
      <c r="M13" s="30"/>
      <c r="N13" s="30"/>
      <c r="O13" s="30"/>
      <c r="P13" s="30"/>
      <c r="Q13" s="30"/>
      <c r="R13" s="30"/>
      <c r="S13" s="30"/>
      <c r="T13" s="1988" t="s">
        <v>2073</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2065</v>
      </c>
      <c r="B15" s="1986"/>
      <c r="C15" s="1986"/>
      <c r="D15" s="1986"/>
      <c r="E15" s="1986"/>
      <c r="F15" s="1986"/>
      <c r="G15" s="1986"/>
      <c r="H15" s="1987"/>
      <c r="T15" s="1949" t="s">
        <v>2074</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2081</v>
      </c>
      <c r="B17" s="2011"/>
      <c r="C17" s="2011"/>
      <c r="D17" s="2011"/>
      <c r="E17" s="2011"/>
      <c r="F17" s="2011"/>
      <c r="G17" s="2011"/>
      <c r="H17" s="2012"/>
      <c r="T17" s="1998" t="s">
        <v>2075</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2066</v>
      </c>
      <c r="B19" s="1982"/>
      <c r="C19" s="1982"/>
      <c r="D19" s="1982"/>
      <c r="E19" s="1982"/>
      <c r="F19" s="1982"/>
      <c r="G19" s="1982"/>
      <c r="H19" s="1980"/>
      <c r="I19" s="30"/>
      <c r="J19" s="99"/>
      <c r="K19" s="40"/>
      <c r="L19" s="38"/>
      <c r="M19" s="112" t="s">
        <v>315</v>
      </c>
      <c r="P19" s="27"/>
      <c r="Q19" s="27"/>
      <c r="R19" s="27"/>
      <c r="S19" s="31"/>
      <c r="T19" s="1981" t="s">
        <v>2076</v>
      </c>
      <c r="U19" s="1979"/>
      <c r="V19" s="1979"/>
      <c r="W19" s="1980"/>
      <c r="X19" s="1996" t="s">
        <v>2077</v>
      </c>
      <c r="Y19" s="1997"/>
      <c r="Z19" s="1994">
        <v>60563</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2067</v>
      </c>
      <c r="B21" s="1979"/>
      <c r="C21" s="1979"/>
      <c r="D21" s="1979"/>
      <c r="E21" s="1979"/>
      <c r="F21" s="1979"/>
      <c r="G21" s="1979"/>
      <c r="H21" s="1980"/>
      <c r="I21" s="2004" t="s">
        <v>678</v>
      </c>
      <c r="J21" s="1967"/>
      <c r="K21" s="1967"/>
      <c r="L21" s="1967"/>
      <c r="M21" s="1967"/>
      <c r="N21" s="1967"/>
      <c r="O21" s="1967"/>
      <c r="P21" s="1967"/>
      <c r="Q21" s="1967"/>
      <c r="R21" s="1967"/>
      <c r="S21" s="1968"/>
      <c r="T21" s="1946">
        <v>6303931483</v>
      </c>
      <c r="U21" s="1947"/>
      <c r="V21" s="1947"/>
      <c r="W21" s="1947"/>
      <c r="X21" s="1960">
        <v>6303932516</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t="s">
        <v>2072</v>
      </c>
      <c r="B23" s="2002"/>
      <c r="C23" s="2002"/>
      <c r="D23" s="2002"/>
      <c r="E23" s="2002"/>
      <c r="F23" s="2002"/>
      <c r="G23" s="2002"/>
      <c r="H23" s="2003"/>
      <c r="T23" s="1941" t="s">
        <v>2078</v>
      </c>
      <c r="U23" s="1942"/>
      <c r="V23" s="1942"/>
      <c r="W23" s="1942"/>
      <c r="X23" s="1957">
        <v>44469</v>
      </c>
      <c r="Y23" s="1958"/>
      <c r="Z23" s="1958"/>
      <c r="AA23" s="1959"/>
    </row>
    <row r="24" spans="1:27" ht="14.1" customHeight="1" x14ac:dyDescent="0.2">
      <c r="A24" s="88" t="s">
        <v>677</v>
      </c>
      <c r="B24" s="49"/>
      <c r="C24" s="49"/>
      <c r="D24" s="49"/>
      <c r="E24" s="49"/>
      <c r="F24" s="49"/>
      <c r="G24" s="49"/>
      <c r="H24" s="61"/>
      <c r="J24" s="2043" t="str">
        <f>IF(B5="x",IF(AUDITCHECK!D29="AFR form Incomplete.","",IF(AUDITCHECK!D29="Deficit reduction plan is required.","School District must complete a deficit reduction plan in the 2019-2020 Budget",)),"")</f>
        <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60545</v>
      </c>
      <c r="B25" s="1979"/>
      <c r="C25" s="1979"/>
      <c r="D25" s="1979"/>
      <c r="E25" s="1979"/>
      <c r="F25" s="1979"/>
      <c r="G25" s="1979"/>
      <c r="H25" s="1980"/>
      <c r="I25" s="113"/>
      <c r="J25" s="2045"/>
      <c r="K25" s="2045"/>
      <c r="L25" s="2045"/>
      <c r="M25" s="2045"/>
      <c r="N25" s="2045"/>
      <c r="O25" s="2045"/>
      <c r="P25" s="2045"/>
      <c r="Q25" s="2045"/>
      <c r="R25" s="2045"/>
      <c r="S25" s="2046"/>
      <c r="T25" s="1938" t="s">
        <v>2079</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02"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2068</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t="s">
        <v>2069</v>
      </c>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2070</v>
      </c>
      <c r="B42" s="2028"/>
      <c r="C42" s="2029"/>
      <c r="D42" s="2042" t="s">
        <v>2071</v>
      </c>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6"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3629787</v>
      </c>
      <c r="E16" s="356"/>
      <c r="F16" s="1733">
        <f>SUM('Acct Summary 7-8'!C17,'Acct Summary 7-8'!D17,'Acct Summary 7-8'!F17)</f>
        <v>3680794</v>
      </c>
      <c r="G16" s="356"/>
      <c r="H16" s="1733">
        <f>SUM(D16-F16)</f>
        <v>-51007</v>
      </c>
      <c r="I16" s="222"/>
      <c r="J16" s="1733">
        <f>SUM('Acct Summary 7-8'!C81,'Acct Summary 7-8'!D81,'Acct Summary 7-8'!F81,'Acct Summary 7-8'!I81)</f>
        <v>552055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Plano Area Special Ed Coop</v>
      </c>
      <c r="E7" s="391"/>
      <c r="G7" s="252"/>
      <c r="H7" s="387"/>
      <c r="I7" s="387"/>
      <c r="J7" s="387"/>
      <c r="K7" s="387"/>
      <c r="L7" s="329"/>
      <c r="M7" s="329"/>
      <c r="N7" s="329"/>
      <c r="O7" s="329"/>
      <c r="P7" s="329"/>
    </row>
    <row r="8" spans="1:18" ht="12.75" x14ac:dyDescent="0.2">
      <c r="A8" s="329"/>
      <c r="B8" s="329"/>
      <c r="C8" s="389" t="s">
        <v>1125</v>
      </c>
      <c r="D8" s="392">
        <f>COVER!A13</f>
        <v>24047088061</v>
      </c>
      <c r="E8" s="393"/>
      <c r="G8" s="329"/>
      <c r="H8" s="329"/>
      <c r="I8" s="329"/>
      <c r="J8" s="329"/>
      <c r="K8" s="329"/>
      <c r="L8" s="329"/>
      <c r="M8" s="329"/>
      <c r="N8" s="329"/>
      <c r="O8" s="329"/>
      <c r="P8" s="329"/>
    </row>
    <row r="9" spans="1:18" ht="12.75" x14ac:dyDescent="0.2">
      <c r="A9" s="329"/>
      <c r="B9" s="329"/>
      <c r="C9" s="389" t="s">
        <v>713</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552055</v>
      </c>
      <c r="I12" s="404"/>
      <c r="J12" s="404"/>
      <c r="K12" s="405">
        <f>TRUNC((H12/H13*100000),5)/100000</f>
        <v>0.1520901915</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3629787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3680794</v>
      </c>
      <c r="I17" s="404"/>
      <c r="J17" s="416"/>
      <c r="K17" s="405">
        <f>TRUNC((H17/H18*100000),5)/100000</f>
        <v>1.0140523397000001</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3629787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3.7068696000000001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552055</v>
      </c>
      <c r="I24" s="422"/>
      <c r="J24" s="422"/>
      <c r="K24" s="423">
        <f>TRUNC(((H24/H25*100000)/100000),2)</f>
        <v>53.99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10224.42778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552055</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552055</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0</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552055</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6" t="s">
        <v>655</v>
      </c>
      <c r="B41" s="1706"/>
      <c r="C41" s="1688">
        <f>(SUM(C34,C37,C38,C39))</f>
        <v>552055</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C49" sqref="C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2413772</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353459</v>
      </c>
      <c r="D6" s="1743">
        <f>'Revenues 9-14'!D170</f>
        <v>0</v>
      </c>
      <c r="E6" s="1743">
        <f>'Revenues 9-14'!E170</f>
        <v>0</v>
      </c>
      <c r="F6" s="1743">
        <f>'Revenues 9-14'!F170</f>
        <v>0</v>
      </c>
      <c r="G6" s="1743">
        <f>'Revenues 9-14'!G170</f>
        <v>118000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862556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3629787</v>
      </c>
      <c r="D8" s="1688">
        <f t="shared" ref="D8:K8" si="0">SUM(D4:D7)</f>
        <v>0</v>
      </c>
      <c r="E8" s="1688">
        <f t="shared" si="0"/>
        <v>0</v>
      </c>
      <c r="F8" s="1688">
        <f t="shared" si="0"/>
        <v>0</v>
      </c>
      <c r="G8" s="1688">
        <f t="shared" si="0"/>
        <v>118000</v>
      </c>
      <c r="H8" s="1688">
        <f t="shared" si="0"/>
        <v>0</v>
      </c>
      <c r="I8" s="1688">
        <f t="shared" si="0"/>
        <v>0</v>
      </c>
      <c r="J8" s="1688">
        <f t="shared" si="0"/>
        <v>0</v>
      </c>
      <c r="K8" s="1688">
        <f t="shared" si="0"/>
        <v>0</v>
      </c>
      <c r="L8" s="347"/>
    </row>
    <row r="9" spans="1:13" ht="15.75" thickTop="1" x14ac:dyDescent="0.2">
      <c r="A9" s="514" t="s">
        <v>1653</v>
      </c>
      <c r="B9" s="515">
        <v>3998</v>
      </c>
      <c r="C9" s="481">
        <v>1180418</v>
      </c>
      <c r="D9" s="516"/>
      <c r="E9" s="481"/>
      <c r="F9" s="481"/>
      <c r="G9" s="517"/>
      <c r="H9" s="481"/>
      <c r="I9" s="509" t="s">
        <v>1169</v>
      </c>
      <c r="J9" s="478"/>
      <c r="K9" s="481"/>
      <c r="L9" s="347"/>
    </row>
    <row r="10" spans="1:13" s="519" customFormat="1" ht="13.5" thickBot="1" x14ac:dyDescent="0.25">
      <c r="A10" s="1736" t="s">
        <v>1173</v>
      </c>
      <c r="B10" s="1709"/>
      <c r="C10" s="1688">
        <f>SUM(C8:C9)</f>
        <v>4810205</v>
      </c>
      <c r="D10" s="1688">
        <f t="shared" ref="D10:K10" si="1">SUM(D8:D9)</f>
        <v>0</v>
      </c>
      <c r="E10" s="1688">
        <f t="shared" si="1"/>
        <v>0</v>
      </c>
      <c r="F10" s="1688">
        <f t="shared" si="1"/>
        <v>0</v>
      </c>
      <c r="G10" s="1688">
        <f t="shared" si="1"/>
        <v>118000</v>
      </c>
      <c r="H10" s="1688">
        <f t="shared" si="1"/>
        <v>0</v>
      </c>
      <c r="I10" s="1688">
        <f t="shared" si="1"/>
        <v>0</v>
      </c>
      <c r="J10" s="1688">
        <f t="shared" si="1"/>
        <v>0</v>
      </c>
      <c r="K10" s="1688">
        <f t="shared" si="1"/>
        <v>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1729870</v>
      </c>
      <c r="D12" s="520" t="s">
        <v>1169</v>
      </c>
      <c r="E12" s="468" t="s">
        <v>1169</v>
      </c>
      <c r="F12" s="468" t="s">
        <v>1169</v>
      </c>
      <c r="G12" s="1742">
        <f>'Expenditures 15-22'!K229</f>
        <v>91955</v>
      </c>
      <c r="H12" s="521"/>
      <c r="I12" s="468" t="s">
        <v>1169</v>
      </c>
      <c r="J12" s="468" t="s">
        <v>1169</v>
      </c>
      <c r="K12" s="521" t="s">
        <v>1169</v>
      </c>
      <c r="L12" s="347"/>
    </row>
    <row r="13" spans="1:13" ht="15.75" customHeight="1" x14ac:dyDescent="0.2">
      <c r="A13" s="1576" t="s">
        <v>457</v>
      </c>
      <c r="B13" s="1578">
        <v>2000</v>
      </c>
      <c r="C13" s="1743">
        <f>'Expenditures 15-22'!K74</f>
        <v>1250704</v>
      </c>
      <c r="D13" s="1743">
        <f>'Expenditures 15-22'!K129</f>
        <v>0</v>
      </c>
      <c r="E13" s="469" t="s">
        <v>1169</v>
      </c>
      <c r="F13" s="1743">
        <f>'Expenditures 15-22'!K184</f>
        <v>0</v>
      </c>
      <c r="G13" s="1743">
        <f>'Expenditures 15-22'!K279</f>
        <v>25328</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700220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3680794</v>
      </c>
      <c r="D17" s="1688">
        <f t="shared" si="2"/>
        <v>0</v>
      </c>
      <c r="E17" s="1688">
        <f t="shared" si="2"/>
        <v>0</v>
      </c>
      <c r="F17" s="1688">
        <f t="shared" si="2"/>
        <v>0</v>
      </c>
      <c r="G17" s="1688">
        <f t="shared" si="2"/>
        <v>117283</v>
      </c>
      <c r="H17" s="1688">
        <f t="shared" si="2"/>
        <v>0</v>
      </c>
      <c r="I17" s="468"/>
      <c r="J17" s="1688">
        <f>SUM(J12:J16)</f>
        <v>0</v>
      </c>
      <c r="K17" s="1688">
        <f>SUM(K12:K16)</f>
        <v>0</v>
      </c>
      <c r="L17" s="347"/>
    </row>
    <row r="18" spans="1:12" ht="15" customHeight="1" thickTop="1" x14ac:dyDescent="0.2">
      <c r="A18" s="1744" t="s">
        <v>1654</v>
      </c>
      <c r="B18" s="1745">
        <v>4180</v>
      </c>
      <c r="C18" s="1742">
        <f t="shared" ref="C18:H18" si="3">C9</f>
        <v>1180418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4861212</v>
      </c>
      <c r="D19" s="1688">
        <f t="shared" si="4"/>
        <v>0</v>
      </c>
      <c r="E19" s="1688">
        <f t="shared" si="4"/>
        <v>0</v>
      </c>
      <c r="F19" s="1688">
        <f t="shared" si="4"/>
        <v>0</v>
      </c>
      <c r="G19" s="1688">
        <f t="shared" si="4"/>
        <v>117283</v>
      </c>
      <c r="H19" s="1688">
        <f t="shared" si="4"/>
        <v>0</v>
      </c>
      <c r="I19" s="468"/>
      <c r="J19" s="1688">
        <f>SUM(J17:J18)</f>
        <v>0</v>
      </c>
      <c r="K19" s="1688">
        <f>SUM(K17:K18)</f>
        <v>0</v>
      </c>
      <c r="L19" s="347"/>
    </row>
    <row r="20" spans="1:12" ht="16.5" thickTop="1" thickBot="1" x14ac:dyDescent="0.25">
      <c r="A20" s="2123" t="s">
        <v>1655</v>
      </c>
      <c r="B20" s="2124"/>
      <c r="C20" s="1746">
        <f>C8-C17</f>
        <v>-51007</v>
      </c>
      <c r="D20" s="1746">
        <f t="shared" ref="D20:K20" si="5">D8-D17</f>
        <v>0</v>
      </c>
      <c r="E20" s="1746">
        <f t="shared" si="5"/>
        <v>0</v>
      </c>
      <c r="F20" s="1746">
        <f t="shared" si="5"/>
        <v>0</v>
      </c>
      <c r="G20" s="1746">
        <f t="shared" si="5"/>
        <v>717</v>
      </c>
      <c r="H20" s="1746">
        <f t="shared" si="5"/>
        <v>0</v>
      </c>
      <c r="I20" s="1746">
        <f t="shared" si="5"/>
        <v>0</v>
      </c>
      <c r="J20" s="1746">
        <f t="shared" si="5"/>
        <v>0</v>
      </c>
      <c r="K20" s="1746">
        <f t="shared" si="5"/>
        <v>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v>221966</v>
      </c>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221966</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v>221966</v>
      </c>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221966</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-221966</v>
      </c>
      <c r="D77" s="1703">
        <f t="shared" si="8"/>
        <v>0</v>
      </c>
      <c r="E77" s="1703">
        <f t="shared" si="8"/>
        <v>0</v>
      </c>
      <c r="F77" s="1703">
        <f t="shared" si="8"/>
        <v>0</v>
      </c>
      <c r="G77" s="1703">
        <f t="shared" si="8"/>
        <v>221966</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-272973</v>
      </c>
      <c r="D78" s="1702">
        <f t="shared" si="9"/>
        <v>0</v>
      </c>
      <c r="E78" s="1702">
        <f t="shared" si="9"/>
        <v>0</v>
      </c>
      <c r="F78" s="1702">
        <f t="shared" si="9"/>
        <v>0</v>
      </c>
      <c r="G78" s="1702">
        <f t="shared" si="9"/>
        <v>222683</v>
      </c>
      <c r="H78" s="1702">
        <f t="shared" si="9"/>
        <v>0</v>
      </c>
      <c r="I78" s="1702">
        <f t="shared" si="9"/>
        <v>0</v>
      </c>
      <c r="J78" s="1702">
        <f t="shared" si="9"/>
        <v>0</v>
      </c>
      <c r="K78" s="1702">
        <f t="shared" si="9"/>
        <v>0</v>
      </c>
      <c r="L78" s="533"/>
    </row>
    <row r="79" spans="1:12" ht="13.5" thickTop="1" x14ac:dyDescent="0.2">
      <c r="A79" s="1494" t="s">
        <v>1949</v>
      </c>
      <c r="B79" s="534"/>
      <c r="C79" s="478">
        <v>825028</v>
      </c>
      <c r="D79" s="535"/>
      <c r="E79" s="535"/>
      <c r="F79" s="535"/>
      <c r="G79" s="535">
        <v>-222683</v>
      </c>
      <c r="H79" s="535"/>
      <c r="I79" s="535"/>
      <c r="J79" s="535"/>
      <c r="K79" s="535"/>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552055</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-272973</v>
      </c>
      <c r="D82" s="538">
        <f t="shared" ref="D82:K82" si="11">(D81-D79)</f>
        <v>0</v>
      </c>
      <c r="E82" s="538">
        <f t="shared" si="11"/>
        <v>0</v>
      </c>
      <c r="F82" s="538">
        <f t="shared" si="11"/>
        <v>0</v>
      </c>
      <c r="G82" s="538">
        <f t="shared" si="11"/>
        <v>222683</v>
      </c>
      <c r="H82" s="538">
        <f t="shared" si="11"/>
        <v>0</v>
      </c>
      <c r="I82" s="538">
        <f t="shared" si="11"/>
        <v>0</v>
      </c>
      <c r="J82" s="538">
        <f t="shared" si="11"/>
        <v>0</v>
      </c>
      <c r="K82" s="538">
        <f t="shared" si="11"/>
        <v>0</v>
      </c>
    </row>
    <row r="83" spans="1:12" ht="14.25" hidden="1" thickTop="1" thickBot="1" x14ac:dyDescent="0.25">
      <c r="A83" s="539" t="s">
        <v>344</v>
      </c>
      <c r="B83" s="464"/>
      <c r="C83" s="540">
        <f>C82/C81</f>
        <v>-0.49446703679886966</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2222820</v>
      </c>
      <c r="D33" s="468"/>
      <c r="E33" s="468"/>
      <c r="F33" s="468"/>
      <c r="G33" s="468"/>
      <c r="H33" s="468"/>
      <c r="I33" s="468"/>
      <c r="J33" s="468"/>
      <c r="K33" s="468"/>
    </row>
    <row r="34" spans="1:11" ht="12.75" customHeight="1" x14ac:dyDescent="0.2">
      <c r="A34" s="463" t="s">
        <v>495</v>
      </c>
      <c r="B34" s="470">
        <v>1343</v>
      </c>
      <c r="C34" s="551">
        <v>189902</v>
      </c>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2412722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210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840</v>
      </c>
      <c r="D107" s="466"/>
      <c r="E107" s="466"/>
      <c r="F107" s="466"/>
      <c r="G107" s="466"/>
      <c r="H107" s="466"/>
      <c r="I107" s="466"/>
      <c r="J107" s="467"/>
      <c r="K107" s="466"/>
    </row>
    <row r="108" spans="1:12" ht="12.75" customHeight="1" thickBot="1" x14ac:dyDescent="0.25">
      <c r="A108" s="1708" t="s">
        <v>487</v>
      </c>
      <c r="B108" s="1712"/>
      <c r="C108" s="1707">
        <f>SUM(C95:C107)</f>
        <v>1050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2413772</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314811</v>
      </c>
      <c r="D117" s="481"/>
      <c r="E117" s="466"/>
      <c r="F117" s="481"/>
      <c r="G117" s="481">
        <v>118000</v>
      </c>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314811</v>
      </c>
      <c r="D122" s="1707">
        <f t="shared" si="5"/>
        <v>0</v>
      </c>
      <c r="E122" s="1707">
        <f t="shared" si="5"/>
        <v>0</v>
      </c>
      <c r="F122" s="1707">
        <f t="shared" si="5"/>
        <v>0</v>
      </c>
      <c r="G122" s="1707">
        <f t="shared" si="5"/>
        <v>118000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38648</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38648</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353459</v>
      </c>
      <c r="D170" s="1715">
        <f t="shared" si="7"/>
        <v>0</v>
      </c>
      <c r="E170" s="1715">
        <f t="shared" si="7"/>
        <v>0</v>
      </c>
      <c r="F170" s="1715">
        <f t="shared" si="7"/>
        <v>0</v>
      </c>
      <c r="G170" s="1715">
        <f t="shared" si="7"/>
        <v>118000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14208</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703616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717824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1937</v>
      </c>
      <c r="B261" s="470">
        <v>4981</v>
      </c>
      <c r="C261" s="575"/>
      <c r="D261" s="576"/>
      <c r="E261" s="468"/>
      <c r="F261" s="576"/>
      <c r="G261" s="576"/>
      <c r="H261" s="468"/>
      <c r="I261" s="468"/>
      <c r="J261" s="468"/>
      <c r="K261" s="468"/>
    </row>
    <row r="262" spans="1:11" ht="12.75" customHeight="1" thickTop="1" thickBot="1" x14ac:dyDescent="0.25">
      <c r="A262" s="1932"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23814</v>
      </c>
      <c r="D263" s="576"/>
      <c r="E263" s="468"/>
      <c r="F263" s="576"/>
      <c r="G263" s="576"/>
      <c r="H263" s="468"/>
      <c r="I263" s="468"/>
      <c r="J263" s="468"/>
      <c r="K263" s="468"/>
    </row>
    <row r="264" spans="1:11" ht="12.75" customHeight="1" thickTop="1" thickBot="1" x14ac:dyDescent="0.25">
      <c r="A264" s="463" t="s">
        <v>377</v>
      </c>
      <c r="B264" s="470">
        <v>4992</v>
      </c>
      <c r="C264" s="575">
        <v>120918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862556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862556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3629787</v>
      </c>
      <c r="D268" s="1715">
        <f t="shared" si="12"/>
        <v>0</v>
      </c>
      <c r="E268" s="1715">
        <f t="shared" si="12"/>
        <v>0</v>
      </c>
      <c r="F268" s="1715">
        <f t="shared" si="12"/>
        <v>0</v>
      </c>
      <c r="G268" s="1715">
        <f t="shared" si="12"/>
        <v>118000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4" activePane="bottomLeft" state="frozen"/>
      <selection pane="bottomLeft" activeCell="L87" sqref="L8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1010863</v>
      </c>
      <c r="D8" s="466">
        <v>133919</v>
      </c>
      <c r="E8" s="466">
        <v>11612</v>
      </c>
      <c r="F8" s="466">
        <v>18343</v>
      </c>
      <c r="G8" s="466"/>
      <c r="H8" s="466"/>
      <c r="I8" s="467">
        <v>14424</v>
      </c>
      <c r="J8" s="467"/>
      <c r="K8" s="1671">
        <f t="shared" si="0"/>
        <v>1189161</v>
      </c>
      <c r="L8" s="466">
        <v>1244040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217984</v>
      </c>
      <c r="D13" s="466">
        <v>22374</v>
      </c>
      <c r="E13" s="466">
        <v>5742</v>
      </c>
      <c r="F13" s="466">
        <v>1092</v>
      </c>
      <c r="G13" s="466"/>
      <c r="H13" s="466"/>
      <c r="I13" s="467"/>
      <c r="J13" s="467"/>
      <c r="K13" s="1671">
        <f t="shared" si="0"/>
        <v>247192</v>
      </c>
      <c r="L13" s="466">
        <v>297785</v>
      </c>
    </row>
    <row r="14" spans="1:14" x14ac:dyDescent="0.2">
      <c r="A14" s="1504" t="s">
        <v>963</v>
      </c>
      <c r="B14" s="614">
        <v>1500</v>
      </c>
      <c r="C14" s="466">
        <v>213806</v>
      </c>
      <c r="D14" s="466">
        <v>15088</v>
      </c>
      <c r="E14" s="466">
        <v>649</v>
      </c>
      <c r="F14" s="466">
        <v>2031</v>
      </c>
      <c r="G14" s="466"/>
      <c r="H14" s="466"/>
      <c r="I14" s="467">
        <v>3161</v>
      </c>
      <c r="J14" s="467"/>
      <c r="K14" s="1671">
        <f t="shared" si="0"/>
        <v>234735</v>
      </c>
      <c r="L14" s="466">
        <v>277594</v>
      </c>
    </row>
    <row r="15" spans="1:14" x14ac:dyDescent="0.2">
      <c r="A15" s="1504" t="s">
        <v>964</v>
      </c>
      <c r="B15" s="614">
        <v>1600</v>
      </c>
      <c r="C15" s="466">
        <v>58311</v>
      </c>
      <c r="D15" s="466">
        <v>265</v>
      </c>
      <c r="E15" s="466"/>
      <c r="F15" s="466">
        <v>206</v>
      </c>
      <c r="G15" s="466"/>
      <c r="H15" s="466"/>
      <c r="I15" s="467"/>
      <c r="J15" s="467"/>
      <c r="K15" s="1671">
        <f t="shared" si="0"/>
        <v>58782</v>
      </c>
      <c r="L15" s="466">
        <v>76850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1500964</v>
      </c>
      <c r="D33" s="1670">
        <f t="shared" ref="D33:L33" si="1">SUM(D5:D32)</f>
        <v>171646</v>
      </c>
      <c r="E33" s="1670">
        <f t="shared" si="1"/>
        <v>18003</v>
      </c>
      <c r="F33" s="1670">
        <f t="shared" si="1"/>
        <v>21672</v>
      </c>
      <c r="G33" s="1670">
        <f t="shared" si="1"/>
        <v>0</v>
      </c>
      <c r="H33" s="1670">
        <f t="shared" si="1"/>
        <v>0</v>
      </c>
      <c r="I33" s="1670">
        <f t="shared" si="1"/>
        <v>17585</v>
      </c>
      <c r="J33" s="1670">
        <f t="shared" si="1"/>
        <v>0</v>
      </c>
      <c r="K33" s="1670">
        <f t="shared" si="1"/>
        <v>1729870</v>
      </c>
      <c r="L33" s="1670">
        <f t="shared" si="1"/>
        <v>1896269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335314</v>
      </c>
      <c r="D36" s="481">
        <v>44508</v>
      </c>
      <c r="E36" s="481">
        <v>290</v>
      </c>
      <c r="F36" s="481">
        <v>868</v>
      </c>
      <c r="G36" s="481"/>
      <c r="H36" s="481"/>
      <c r="I36" s="467"/>
      <c r="J36" s="467"/>
      <c r="K36" s="1671">
        <f t="shared" ref="K36:K41" si="2">SUM(C36:J36)</f>
        <v>380980</v>
      </c>
      <c r="L36" s="466">
        <v>394323</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145540</v>
      </c>
      <c r="D38" s="466">
        <v>105</v>
      </c>
      <c r="E38" s="466">
        <v>11995</v>
      </c>
      <c r="F38" s="466">
        <v>3225</v>
      </c>
      <c r="G38" s="466"/>
      <c r="H38" s="466"/>
      <c r="I38" s="467">
        <v>2199</v>
      </c>
      <c r="J38" s="467"/>
      <c r="K38" s="1671">
        <f t="shared" si="2"/>
        <v>163064</v>
      </c>
      <c r="L38" s="466">
        <v>172660</v>
      </c>
    </row>
    <row r="39" spans="1:14" x14ac:dyDescent="0.2">
      <c r="A39" s="1504" t="s">
        <v>199</v>
      </c>
      <c r="B39" s="614">
        <v>2140</v>
      </c>
      <c r="C39" s="466"/>
      <c r="D39" s="466"/>
      <c r="E39" s="466">
        <v>1287</v>
      </c>
      <c r="F39" s="466"/>
      <c r="G39" s="466"/>
      <c r="H39" s="466"/>
      <c r="I39" s="467"/>
      <c r="J39" s="467"/>
      <c r="K39" s="1671">
        <f t="shared" si="2"/>
        <v>1287</v>
      </c>
      <c r="L39" s="466">
        <v>2800</v>
      </c>
    </row>
    <row r="40" spans="1:14" x14ac:dyDescent="0.2">
      <c r="A40" s="1504" t="s">
        <v>200</v>
      </c>
      <c r="B40" s="614">
        <v>2150</v>
      </c>
      <c r="C40" s="466"/>
      <c r="D40" s="466"/>
      <c r="E40" s="466">
        <v>145099</v>
      </c>
      <c r="F40" s="466">
        <v>332</v>
      </c>
      <c r="G40" s="466"/>
      <c r="H40" s="466"/>
      <c r="I40" s="467"/>
      <c r="J40" s="467"/>
      <c r="K40" s="1671">
        <f t="shared" si="2"/>
        <v>145431</v>
      </c>
      <c r="L40" s="466">
        <v>125051</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480854</v>
      </c>
      <c r="D42" s="1670">
        <f t="shared" ref="D42:L42" si="3">SUM(D36:D41)</f>
        <v>44613</v>
      </c>
      <c r="E42" s="1670">
        <f t="shared" si="3"/>
        <v>158671</v>
      </c>
      <c r="F42" s="1670">
        <f t="shared" si="3"/>
        <v>4425</v>
      </c>
      <c r="G42" s="1670">
        <f t="shared" si="3"/>
        <v>0</v>
      </c>
      <c r="H42" s="1670">
        <f t="shared" si="3"/>
        <v>0</v>
      </c>
      <c r="I42" s="1670">
        <f t="shared" si="3"/>
        <v>2199</v>
      </c>
      <c r="J42" s="1670">
        <f t="shared" si="3"/>
        <v>0</v>
      </c>
      <c r="K42" s="1670">
        <f t="shared" si="3"/>
        <v>690762</v>
      </c>
      <c r="L42" s="1670">
        <f t="shared" si="3"/>
        <v>694834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42998</v>
      </c>
      <c r="F44" s="481"/>
      <c r="G44" s="481"/>
      <c r="H44" s="481"/>
      <c r="I44" s="467"/>
      <c r="J44" s="467"/>
      <c r="K44" s="1672">
        <f>SUM(C44:J44)</f>
        <v>42998</v>
      </c>
      <c r="L44" s="481">
        <v>30000</v>
      </c>
    </row>
    <row r="45" spans="1:14" x14ac:dyDescent="0.2">
      <c r="A45" s="1504" t="s">
        <v>815</v>
      </c>
      <c r="B45" s="614">
        <v>2220</v>
      </c>
      <c r="C45" s="466"/>
      <c r="D45" s="466"/>
      <c r="E45" s="466">
        <v>17750</v>
      </c>
      <c r="F45" s="466">
        <v>12358</v>
      </c>
      <c r="G45" s="466">
        <v>2007</v>
      </c>
      <c r="H45" s="466"/>
      <c r="I45" s="467"/>
      <c r="J45" s="467"/>
      <c r="K45" s="1672">
        <f>SUM(C45:J45)</f>
        <v>32115</v>
      </c>
      <c r="L45" s="466">
        <v>62780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60748</v>
      </c>
      <c r="F47" s="1670">
        <f t="shared" si="4"/>
        <v>12358</v>
      </c>
      <c r="G47" s="1670">
        <f t="shared" si="4"/>
        <v>2007</v>
      </c>
      <c r="H47" s="1670">
        <f t="shared" si="4"/>
        <v>0</v>
      </c>
      <c r="I47" s="1670">
        <f t="shared" si="4"/>
        <v>0</v>
      </c>
      <c r="J47" s="1670">
        <f t="shared" si="4"/>
        <v>0</v>
      </c>
      <c r="K47" s="1670">
        <f t="shared" si="4"/>
        <v>75113</v>
      </c>
      <c r="L47" s="1670">
        <f>SUM(L44:L46)</f>
        <v>92780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154445</v>
      </c>
      <c r="D50" s="466">
        <v>25878</v>
      </c>
      <c r="E50" s="466">
        <v>38181</v>
      </c>
      <c r="F50" s="466">
        <v>3399</v>
      </c>
      <c r="G50" s="466"/>
      <c r="H50" s="466"/>
      <c r="I50" s="467"/>
      <c r="J50" s="467"/>
      <c r="K50" s="1672">
        <f>SUM(C50:J50)</f>
        <v>221903</v>
      </c>
      <c r="L50" s="466">
        <v>266250</v>
      </c>
    </row>
    <row r="51" spans="1:14" x14ac:dyDescent="0.2">
      <c r="A51" s="1504" t="s">
        <v>42</v>
      </c>
      <c r="B51" s="614">
        <v>2330</v>
      </c>
      <c r="C51" s="466">
        <v>183977</v>
      </c>
      <c r="D51" s="466">
        <v>12439</v>
      </c>
      <c r="E51" s="466">
        <v>2064</v>
      </c>
      <c r="F51" s="466"/>
      <c r="G51" s="466"/>
      <c r="H51" s="466"/>
      <c r="I51" s="467"/>
      <c r="J51" s="467"/>
      <c r="K51" s="1672">
        <f>SUM(C51:J51)</f>
        <v>198480</v>
      </c>
      <c r="L51" s="466">
        <v>187755</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338422</v>
      </c>
      <c r="D53" s="1670">
        <f t="shared" ref="D53:L53" si="5">SUM(D49:D52)</f>
        <v>38317</v>
      </c>
      <c r="E53" s="1670">
        <f t="shared" si="5"/>
        <v>40245</v>
      </c>
      <c r="F53" s="1670">
        <f t="shared" si="5"/>
        <v>3399</v>
      </c>
      <c r="G53" s="1670">
        <f t="shared" si="5"/>
        <v>0</v>
      </c>
      <c r="H53" s="1670">
        <f t="shared" si="5"/>
        <v>0</v>
      </c>
      <c r="I53" s="1670">
        <f t="shared" si="5"/>
        <v>0</v>
      </c>
      <c r="J53" s="1670">
        <f t="shared" si="5"/>
        <v>0</v>
      </c>
      <c r="K53" s="1670">
        <f t="shared" si="5"/>
        <v>420383</v>
      </c>
      <c r="L53" s="1670">
        <f t="shared" si="5"/>
        <v>454005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v>61299</v>
      </c>
      <c r="H61" s="466"/>
      <c r="I61" s="467"/>
      <c r="J61" s="467"/>
      <c r="K61" s="1672">
        <f t="shared" si="7"/>
        <v>61299</v>
      </c>
      <c r="L61" s="466">
        <v>95000</v>
      </c>
      <c r="M61" s="609"/>
      <c r="N61" s="609"/>
    </row>
    <row r="62" spans="1:14" s="343" customFormat="1" x14ac:dyDescent="0.2">
      <c r="A62" s="1504" t="s">
        <v>953</v>
      </c>
      <c r="B62" s="614">
        <v>2550</v>
      </c>
      <c r="C62" s="466"/>
      <c r="D62" s="466"/>
      <c r="E62" s="466"/>
      <c r="F62" s="466"/>
      <c r="G62" s="466"/>
      <c r="H62" s="466"/>
      <c r="I62" s="467"/>
      <c r="J62" s="467"/>
      <c r="K62" s="1672">
        <f t="shared" si="7"/>
        <v>0</v>
      </c>
      <c r="L62" s="466">
        <v>25000</v>
      </c>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v>3147</v>
      </c>
      <c r="J64" s="467"/>
      <c r="K64" s="1672">
        <f t="shared" si="7"/>
        <v>3147</v>
      </c>
      <c r="L64" s="481">
        <v>129000</v>
      </c>
    </row>
    <row r="65" spans="1:14" s="343" customFormat="1" ht="12.75" customHeight="1" thickBot="1" x14ac:dyDescent="0.25">
      <c r="A65" s="1668" t="s">
        <v>719</v>
      </c>
      <c r="B65" s="1669" t="s">
        <v>35</v>
      </c>
      <c r="C65" s="1670">
        <f>SUM(C59:C64)</f>
        <v>0</v>
      </c>
      <c r="D65" s="1670">
        <f t="shared" ref="D65:L65" si="8">SUM(D59:D64)</f>
        <v>0</v>
      </c>
      <c r="E65" s="1670">
        <f t="shared" si="8"/>
        <v>0</v>
      </c>
      <c r="F65" s="1670">
        <f t="shared" si="8"/>
        <v>0</v>
      </c>
      <c r="G65" s="1670">
        <f t="shared" si="8"/>
        <v>61299</v>
      </c>
      <c r="H65" s="1670">
        <f t="shared" si="8"/>
        <v>0</v>
      </c>
      <c r="I65" s="1670">
        <f t="shared" si="8"/>
        <v>3147</v>
      </c>
      <c r="J65" s="1670">
        <f t="shared" si="8"/>
        <v>0</v>
      </c>
      <c r="K65" s="1670">
        <f t="shared" si="8"/>
        <v>64446</v>
      </c>
      <c r="L65" s="1670">
        <f t="shared" si="8"/>
        <v>249000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819276</v>
      </c>
      <c r="D74" s="1677">
        <f t="shared" ref="D74:K74" si="10">SUM(D42,D47,D53,D57,D65,D72,D73)</f>
        <v>82930</v>
      </c>
      <c r="E74" s="1677">
        <f t="shared" si="10"/>
        <v>259664</v>
      </c>
      <c r="F74" s="1677">
        <f t="shared" si="10"/>
        <v>20182</v>
      </c>
      <c r="G74" s="1677">
        <f t="shared" si="10"/>
        <v>63306</v>
      </c>
      <c r="H74" s="1677">
        <f t="shared" si="10"/>
        <v>0</v>
      </c>
      <c r="I74" s="1677">
        <f t="shared" si="10"/>
        <v>5346</v>
      </c>
      <c r="J74" s="1677">
        <f t="shared" si="10"/>
        <v>0</v>
      </c>
      <c r="K74" s="1677">
        <f t="shared" si="10"/>
        <v>1250704</v>
      </c>
      <c r="L74" s="1677">
        <f>SUM(L42,L47,L53,L57,L65,L72,L73)</f>
        <v>1490619</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19960</v>
      </c>
      <c r="F78" s="616"/>
      <c r="G78" s="616"/>
      <c r="H78" s="634"/>
      <c r="I78" s="477"/>
      <c r="J78" s="477"/>
      <c r="K78" s="1671">
        <f t="shared" ref="K78:K83" si="11">SUM(C78:J78)</f>
        <v>19960</v>
      </c>
      <c r="L78" s="481">
        <v>24500</v>
      </c>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19960</v>
      </c>
      <c r="F84" s="616"/>
      <c r="G84" s="616"/>
      <c r="H84" s="1670">
        <f>SUM(H78:H83)</f>
        <v>0</v>
      </c>
      <c r="I84" s="477"/>
      <c r="J84" s="477"/>
      <c r="K84" s="1670">
        <f>SUM(K78:K83)</f>
        <v>19960</v>
      </c>
      <c r="L84" s="1670">
        <f>SUM(L78:L83)</f>
        <v>24500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680260</v>
      </c>
      <c r="I86" s="477"/>
      <c r="J86" s="477"/>
      <c r="K86" s="1677">
        <f t="shared" ref="K86:K98" si="12">H86</f>
        <v>680260</v>
      </c>
      <c r="L86" s="530">
        <v>620000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680260</v>
      </c>
      <c r="I92" s="477"/>
      <c r="J92" s="477"/>
      <c r="K92" s="1677">
        <f t="shared" si="12"/>
        <v>680260</v>
      </c>
      <c r="L92" s="1670">
        <f>SUM(L85:L91)</f>
        <v>620000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19960</v>
      </c>
      <c r="F102" s="616"/>
      <c r="G102" s="616"/>
      <c r="H102" s="1677">
        <f>SUM(H84,H92,H100,H101)</f>
        <v>680260</v>
      </c>
      <c r="I102" s="477"/>
      <c r="J102" s="477"/>
      <c r="K102" s="1677">
        <f>SUM(K84,K92,K100,K101)</f>
        <v>700220</v>
      </c>
      <c r="L102" s="1677">
        <f>SUM(L84,L92,L100,L101)</f>
        <v>644500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2320240</v>
      </c>
      <c r="D114" s="1670">
        <f t="shared" ref="D114:K114" si="13">SUM(D33,D74,D75,D102,D112,D113)</f>
        <v>254576</v>
      </c>
      <c r="E114" s="1670">
        <f t="shared" si="13"/>
        <v>297627</v>
      </c>
      <c r="F114" s="1670">
        <f t="shared" si="13"/>
        <v>41854</v>
      </c>
      <c r="G114" s="1670">
        <f t="shared" si="13"/>
        <v>63306</v>
      </c>
      <c r="H114" s="1670">
        <f>SUM(H33,H74,H75,H102,H112,H113)</f>
        <v>680260</v>
      </c>
      <c r="I114" s="1670">
        <f t="shared" si="13"/>
        <v>22931</v>
      </c>
      <c r="J114" s="1670">
        <f t="shared" si="13"/>
        <v>0</v>
      </c>
      <c r="K114" s="1670">
        <f t="shared" si="13"/>
        <v>3680794</v>
      </c>
      <c r="L114" s="1670">
        <f>SUM(L33,L74,L75,L102,L112,L113)</f>
        <v>4031388</v>
      </c>
    </row>
    <row r="115" spans="1:14" ht="13.5" thickTop="1" x14ac:dyDescent="0.2">
      <c r="A115" s="2178" t="s">
        <v>996</v>
      </c>
      <c r="B115" s="2179"/>
      <c r="C115" s="618"/>
      <c r="D115" s="618"/>
      <c r="E115" s="618"/>
      <c r="F115" s="618"/>
      <c r="G115" s="618"/>
      <c r="H115" s="618"/>
      <c r="I115" s="618"/>
      <c r="J115" s="618"/>
      <c r="K115" s="1684">
        <f>'Revenues 9-14'!C268-'Expenditures 15-22'!K114</f>
        <v>-51007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8" t="s">
        <v>620</v>
      </c>
      <c r="B151" s="2150"/>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1" t="s">
        <v>1178</v>
      </c>
      <c r="B152" s="2172"/>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78" t="s">
        <v>996</v>
      </c>
      <c r="B175" s="2179"/>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78" t="s">
        <v>996</v>
      </c>
      <c r="B211" s="2179"/>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76423</v>
      </c>
      <c r="E217" s="616"/>
      <c r="F217" s="616"/>
      <c r="G217" s="616"/>
      <c r="H217" s="616"/>
      <c r="I217" s="616"/>
      <c r="J217" s="616"/>
      <c r="K217" s="1671">
        <f t="shared" si="19"/>
        <v>76423</v>
      </c>
      <c r="L217" s="466">
        <v>77300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8510</v>
      </c>
      <c r="E222" s="616"/>
      <c r="F222" s="616"/>
      <c r="G222" s="616"/>
      <c r="H222" s="616"/>
      <c r="I222" s="616"/>
      <c r="J222" s="616"/>
      <c r="K222" s="1671">
        <f t="shared" si="19"/>
        <v>8510</v>
      </c>
      <c r="L222" s="466">
        <v>17400</v>
      </c>
    </row>
    <row r="223" spans="1:14" x14ac:dyDescent="0.2">
      <c r="A223" s="1504" t="s">
        <v>963</v>
      </c>
      <c r="B223" s="614">
        <v>1500</v>
      </c>
      <c r="C223" s="616"/>
      <c r="D223" s="466">
        <v>3529</v>
      </c>
      <c r="E223" s="616"/>
      <c r="F223" s="616"/>
      <c r="G223" s="616"/>
      <c r="H223" s="616"/>
      <c r="I223" s="616"/>
      <c r="J223" s="616"/>
      <c r="K223" s="1671">
        <f t="shared" si="19"/>
        <v>3529</v>
      </c>
      <c r="L223" s="466">
        <v>3845</v>
      </c>
    </row>
    <row r="224" spans="1:14" x14ac:dyDescent="0.2">
      <c r="A224" s="1504" t="s">
        <v>964</v>
      </c>
      <c r="B224" s="614">
        <v>1600</v>
      </c>
      <c r="C224" s="616"/>
      <c r="D224" s="466">
        <v>3493</v>
      </c>
      <c r="E224" s="616"/>
      <c r="F224" s="616"/>
      <c r="G224" s="616"/>
      <c r="H224" s="616"/>
      <c r="I224" s="616"/>
      <c r="J224" s="616"/>
      <c r="K224" s="1671">
        <f t="shared" si="19"/>
        <v>3493</v>
      </c>
      <c r="L224" s="466">
        <v>5415</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91955</v>
      </c>
      <c r="E229" s="616"/>
      <c r="F229" s="616"/>
      <c r="G229" s="616"/>
      <c r="H229" s="616"/>
      <c r="I229" s="616"/>
      <c r="J229" s="616"/>
      <c r="K229" s="1670">
        <f>SUM(K215:K228)</f>
        <v>91955</v>
      </c>
      <c r="L229" s="1670">
        <f>SUM(L215:L228)</f>
        <v>103960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4862</v>
      </c>
      <c r="E232" s="616"/>
      <c r="F232" s="616"/>
      <c r="G232" s="616"/>
      <c r="H232" s="616"/>
      <c r="I232" s="616"/>
      <c r="J232" s="616"/>
      <c r="K232" s="1671">
        <f t="shared" ref="K232:K237" si="20">D232</f>
        <v>4862</v>
      </c>
      <c r="L232" s="466">
        <v>4400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8780</v>
      </c>
      <c r="E234" s="616"/>
      <c r="F234" s="616"/>
      <c r="G234" s="616"/>
      <c r="H234" s="616"/>
      <c r="I234" s="616"/>
      <c r="J234" s="616"/>
      <c r="K234" s="1671">
        <f t="shared" si="20"/>
        <v>8780</v>
      </c>
      <c r="L234" s="466">
        <v>9350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13642</v>
      </c>
      <c r="E238" s="616"/>
      <c r="F238" s="616"/>
      <c r="G238" s="616"/>
      <c r="H238" s="616"/>
      <c r="I238" s="616"/>
      <c r="J238" s="616"/>
      <c r="K238" s="1670">
        <f>SUM(K232:K237)</f>
        <v>13642</v>
      </c>
      <c r="L238" s="1670">
        <f>SUM(L232:L237)</f>
        <v>13750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9019</v>
      </c>
      <c r="E246" s="616"/>
      <c r="F246" s="616"/>
      <c r="G246" s="616"/>
      <c r="H246" s="616"/>
      <c r="I246" s="616"/>
      <c r="J246" s="616"/>
      <c r="K246" s="1672">
        <f t="shared" ref="K246:K256" si="21">D246</f>
        <v>9019</v>
      </c>
      <c r="L246" s="466">
        <v>10459</v>
      </c>
    </row>
    <row r="247" spans="1:12" x14ac:dyDescent="0.2">
      <c r="A247" s="1504" t="s">
        <v>819</v>
      </c>
      <c r="B247" s="614">
        <v>2330</v>
      </c>
      <c r="C247" s="616"/>
      <c r="D247" s="466">
        <v>2667</v>
      </c>
      <c r="E247" s="616"/>
      <c r="F247" s="616"/>
      <c r="G247" s="616"/>
      <c r="H247" s="616"/>
      <c r="I247" s="616"/>
      <c r="J247" s="616"/>
      <c r="K247" s="1672">
        <f t="shared" si="21"/>
        <v>2667</v>
      </c>
      <c r="L247" s="466">
        <v>2500</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11686</v>
      </c>
      <c r="E257" s="616"/>
      <c r="F257" s="616"/>
      <c r="G257" s="616"/>
      <c r="H257" s="616"/>
      <c r="I257" s="616"/>
      <c r="J257" s="616"/>
      <c r="K257" s="1670">
        <f>SUM(K245:K256)</f>
        <v>11686</v>
      </c>
      <c r="L257" s="1670">
        <f>SUM(L245:L256)</f>
        <v>12959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25328</v>
      </c>
      <c r="E279" s="616"/>
      <c r="F279" s="616"/>
      <c r="G279" s="616"/>
      <c r="H279" s="616"/>
      <c r="I279" s="616"/>
      <c r="J279" s="616"/>
      <c r="K279" s="1677">
        <f>SUM(K238,K243,K257,K261,K270,K277,K278)</f>
        <v>25328</v>
      </c>
      <c r="L279" s="1677">
        <f>SUM(L238,L243,L257,L261,L270,L277,L278)</f>
        <v>26709</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69" t="s">
        <v>505</v>
      </c>
      <c r="B295" s="2170"/>
      <c r="C295" s="616"/>
      <c r="D295" s="1670">
        <f>SUM(D229,D279,D280,D285)</f>
        <v>117283</v>
      </c>
      <c r="E295" s="616"/>
      <c r="F295" s="616"/>
      <c r="G295" s="616"/>
      <c r="H295" s="1670">
        <f>H293</f>
        <v>0</v>
      </c>
      <c r="I295" s="616"/>
      <c r="J295" s="616"/>
      <c r="K295" s="1670">
        <f>SUM(K229,K279,K280,K285,K293,K294)</f>
        <v>117283</v>
      </c>
      <c r="L295" s="1670">
        <f>SUM(L229,L279,L280,L285,L293,L294)</f>
        <v>130669</v>
      </c>
    </row>
    <row r="296" spans="1:14" ht="13.5" thickTop="1" x14ac:dyDescent="0.2">
      <c r="A296" s="2178" t="s">
        <v>996</v>
      </c>
      <c r="B296" s="2179"/>
      <c r="C296" s="616"/>
      <c r="D296" s="618"/>
      <c r="E296" s="616"/>
      <c r="F296" s="616"/>
      <c r="G296" s="616"/>
      <c r="H296" s="687"/>
      <c r="I296" s="616"/>
      <c r="J296" s="616"/>
      <c r="K296" s="1684">
        <f>'Revenues 9-14'!G268-'Expenditures 15-22'!K295</f>
        <v>717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6" t="s">
        <v>277</v>
      </c>
      <c r="B312" s="216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4" t="s">
        <v>996</v>
      </c>
      <c r="B343" s="2165"/>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78" t="s">
        <v>996</v>
      </c>
      <c r="B368" s="2179"/>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4" t="s">
        <v>1956</v>
      </c>
      <c r="D2" s="723" t="s">
        <v>1957</v>
      </c>
      <c r="E2" s="723" t="s">
        <v>1958</v>
      </c>
      <c r="F2" s="1884" t="s">
        <v>1959</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1964</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8" t="s">
        <v>1813</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0</v>
      </c>
      <c r="I12" s="1758">
        <f>SUM(I5:I11)</f>
        <v>0</v>
      </c>
      <c r="J12" s="1758">
        <f>SUM(J5:J11)</f>
        <v>0</v>
      </c>
      <c r="K12" s="1758">
        <f>SUM(K5:K11)</f>
        <v>0</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c r="I14" s="771"/>
      <c r="J14" s="773"/>
      <c r="K14" s="765"/>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1815</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0</v>
      </c>
      <c r="I23" s="1758">
        <f>SUM(I14:I16,I21,I22)</f>
        <v>0</v>
      </c>
      <c r="J23" s="1758">
        <f>SUM(J14:J16,J21,J22)</f>
        <v>0</v>
      </c>
      <c r="K23" s="1758">
        <f>SUM(K14:K16,K21,K22)</f>
        <v>0</v>
      </c>
    </row>
    <row r="24" spans="1:11" ht="14.25" thickTop="1" thickBot="1" x14ac:dyDescent="0.25">
      <c r="A24" s="2232" t="s">
        <v>1965</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c r="D12" s="844"/>
      <c r="E12" s="844"/>
      <c r="F12" s="1760">
        <f>(C12+D12)-E12</f>
        <v>0</v>
      </c>
      <c r="G12" s="843">
        <v>10</v>
      </c>
      <c r="H12" s="765"/>
      <c r="I12" s="765"/>
      <c r="J12" s="765"/>
      <c r="K12" s="1769">
        <f>(H12+I12)-J12</f>
        <v>0</v>
      </c>
      <c r="L12" s="1769">
        <f>F12-K12</f>
        <v>0</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0</v>
      </c>
      <c r="D16" s="1760">
        <f>SUM(D3,D5:D6,D8:D10,D12:D15)</f>
        <v>0</v>
      </c>
      <c r="E16" s="1760">
        <f>SUM(E3,E5:E6,E8:E10,E12:E15)</f>
        <v>0</v>
      </c>
      <c r="F16" s="1760">
        <f>SUM(F3,F5:F6,F8:F10,F12:F15)</f>
        <v>0</v>
      </c>
      <c r="G16" s="843"/>
      <c r="H16" s="1760">
        <f>SUM(H3,H6,H8:H10,H12:H14,)</f>
        <v>0</v>
      </c>
      <c r="I16" s="1760">
        <f>SUM(I3,I6,I8:I10,I12:I14,)</f>
        <v>0</v>
      </c>
      <c r="J16" s="1760">
        <f>SUM(J3,J6,J8:J10,J12:J14,)</f>
        <v>0</v>
      </c>
      <c r="K16" s="1760">
        <f>(H16+I16)-J16</f>
        <v>0</v>
      </c>
      <c r="L16" s="1760">
        <f>F16-K16</f>
        <v>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22931</v>
      </c>
      <c r="G17" s="837">
        <v>10</v>
      </c>
      <c r="H17" s="769"/>
      <c r="I17" s="1769">
        <f>F17/G17</f>
        <v>2293.1</v>
      </c>
      <c r="J17" s="769"/>
      <c r="K17" s="795"/>
      <c r="L17" s="795"/>
    </row>
    <row r="18" spans="1:12" ht="14.25" thickTop="1" thickBot="1" x14ac:dyDescent="0.25">
      <c r="A18" s="1767" t="s">
        <v>685</v>
      </c>
      <c r="B18" s="1768"/>
      <c r="C18" s="771"/>
      <c r="D18" s="771"/>
      <c r="E18" s="771"/>
      <c r="F18" s="850"/>
      <c r="G18" s="851"/>
      <c r="H18" s="773"/>
      <c r="I18" s="1760">
        <f>SUM(I16,I17)</f>
        <v>2293.1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3680794</v>
      </c>
      <c r="G8" s="865"/>
    </row>
    <row r="9" spans="1:7" x14ac:dyDescent="0.2">
      <c r="A9" s="869" t="s">
        <v>460</v>
      </c>
      <c r="B9" s="870" t="s">
        <v>1877</v>
      </c>
      <c r="C9" s="871"/>
      <c r="D9" s="869" t="s">
        <v>501</v>
      </c>
      <c r="E9" s="868"/>
      <c r="F9" s="1909">
        <f>'Expenditures 15-22'!K151</f>
        <v>0</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0</v>
      </c>
      <c r="G11" s="872"/>
    </row>
    <row r="12" spans="1:7" x14ac:dyDescent="0.2">
      <c r="A12" s="869" t="s">
        <v>462</v>
      </c>
      <c r="B12" s="870" t="s">
        <v>1880</v>
      </c>
      <c r="C12" s="871"/>
      <c r="D12" s="869" t="s">
        <v>501</v>
      </c>
      <c r="E12" s="868"/>
      <c r="F12" s="1909">
        <f>'Expenditures 15-22'!K295</f>
        <v>117283</v>
      </c>
      <c r="G12" s="872"/>
    </row>
    <row r="13" spans="1:7" x14ac:dyDescent="0.2">
      <c r="A13" s="869" t="s">
        <v>106</v>
      </c>
      <c r="B13" s="870" t="s">
        <v>1881</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3798077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58782</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700220</v>
      </c>
      <c r="G53" s="865"/>
    </row>
    <row r="54" spans="1:7" x14ac:dyDescent="0.2">
      <c r="A54" s="869" t="s">
        <v>459</v>
      </c>
      <c r="B54" s="869" t="s">
        <v>1476</v>
      </c>
      <c r="C54" s="889" t="s">
        <v>982</v>
      </c>
      <c r="D54" s="885" t="s">
        <v>1095</v>
      </c>
      <c r="E54" s="868"/>
      <c r="F54" s="1913">
        <f>'Expenditures 15-22'!G114</f>
        <v>63306</v>
      </c>
      <c r="G54" s="865"/>
    </row>
    <row r="55" spans="1:7" x14ac:dyDescent="0.2">
      <c r="A55" s="869" t="s">
        <v>459</v>
      </c>
      <c r="B55" s="869" t="s">
        <v>1477</v>
      </c>
      <c r="C55" s="889" t="s">
        <v>982</v>
      </c>
      <c r="D55" s="885" t="s">
        <v>291</v>
      </c>
      <c r="E55" s="868"/>
      <c r="F55" s="1913">
        <f>'Expenditures 15-22'!I114</f>
        <v>22931</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3493</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848732</v>
      </c>
      <c r="G76" s="865"/>
    </row>
    <row r="77" spans="1:8" s="893" customFormat="1" ht="12" customHeight="1" thickTop="1" thickBot="1" x14ac:dyDescent="0.25">
      <c r="A77" s="1779"/>
      <c r="B77" s="1776"/>
      <c r="C77" s="1772"/>
      <c r="D77" s="1777" t="s">
        <v>1900</v>
      </c>
      <c r="E77" s="1774"/>
      <c r="F77" s="1780">
        <f>(F14-F76)</f>
        <v>2949345</v>
      </c>
      <c r="G77" s="869"/>
    </row>
    <row r="78" spans="1:8" s="893" customFormat="1" ht="12" customHeight="1" thickTop="1" x14ac:dyDescent="0.2">
      <c r="A78" s="1781"/>
      <c r="B78" s="1776"/>
      <c r="C78" s="1772"/>
      <c r="D78" s="1777" t="s">
        <v>2062</v>
      </c>
      <c r="E78" s="1774"/>
      <c r="F78" s="898">
        <v>0</v>
      </c>
      <c r="G78" s="899"/>
      <c r="H78" s="869"/>
    </row>
    <row r="79" spans="1:8" s="893" customFormat="1" ht="12" customHeight="1" thickBot="1" x14ac:dyDescent="0.25">
      <c r="A79" s="1782"/>
      <c r="B79" s="1776"/>
      <c r="C79" s="1772"/>
      <c r="D79" s="1777" t="s">
        <v>1901</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38648</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703616</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23814</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120918</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886996</v>
      </c>
    </row>
    <row r="175" spans="1:7" ht="12" customHeight="1" x14ac:dyDescent="0.2">
      <c r="A175" s="1770"/>
      <c r="B175" s="1784"/>
      <c r="C175" s="1785"/>
      <c r="D175" s="1786" t="s">
        <v>2057</v>
      </c>
      <c r="E175" s="1787"/>
      <c r="F175" s="1789">
        <f>'PCTC-OEPP 27-28'!F77-F174</f>
        <v>2062349</v>
      </c>
    </row>
    <row r="176" spans="1:7" ht="12" customHeight="1" x14ac:dyDescent="0.2">
      <c r="A176" s="1770"/>
      <c r="B176" s="1784"/>
      <c r="C176" s="1785"/>
      <c r="D176" s="1786" t="s">
        <v>1817</v>
      </c>
      <c r="E176" s="1787"/>
      <c r="F176" s="1789">
        <f>'Cap Outlay Deprec 26'!I18</f>
        <v>2293.1</v>
      </c>
    </row>
    <row r="177" spans="1:7" ht="12" customHeight="1" x14ac:dyDescent="0.2">
      <c r="A177" s="1770"/>
      <c r="B177" s="1784"/>
      <c r="C177" s="1785"/>
      <c r="D177" s="1786" t="s">
        <v>2058</v>
      </c>
      <c r="E177" s="1787"/>
      <c r="F177" s="1789">
        <f>F175+F176</f>
        <v>2064642.1</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2059</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4" t="s">
        <v>1977</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1804240</v>
      </c>
      <c r="F19" s="1799"/>
      <c r="G19" s="1801">
        <f>'Expenditures 15-22'!K33-SUM('Expenditures 15-22'!G33,'Expenditures 15-22'!I33)+'Expenditures 15-22'!D229</f>
        <v>1804240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702205</v>
      </c>
      <c r="F21" s="1802"/>
      <c r="G21" s="1805">
        <f>'Expenditures 15-22'!K42-SUM('Expenditures 15-22'!G42,'Expenditures 15-22'!I42)+'Expenditures 15-22'!K120-SUM('Expenditures 15-22'!G120,'Expenditures 15-22'!I120)+'Expenditures 15-22'!K180-SUM('Expenditures 15-22'!G180,'Expenditures 15-22'!I180)+'Expenditures 15-22'!D238</f>
        <v>702205</v>
      </c>
      <c r="H21" s="987"/>
      <c r="I21" s="162"/>
    </row>
    <row r="22" spans="1:9" s="668" customFormat="1" ht="12" customHeight="1" x14ac:dyDescent="0.2">
      <c r="A22" s="994" t="s">
        <v>564</v>
      </c>
      <c r="B22" s="995"/>
      <c r="C22" s="993">
        <v>2200</v>
      </c>
      <c r="D22" s="1802"/>
      <c r="E22" s="1804">
        <f>'Expenditures 15-22'!K47-SUM('Expenditures 15-22'!G47,'Expenditures 15-22'!I47)+'Expenditures 15-22'!D243</f>
        <v>73106</v>
      </c>
      <c r="F22" s="1802"/>
      <c r="G22" s="1805">
        <f>'Expenditures 15-22'!K47-SUM('Expenditures 15-22'!G47,'Expenditures 15-22'!I47)+'Expenditures 15-22'!D243</f>
        <v>73106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432069</v>
      </c>
      <c r="F23" s="1802"/>
      <c r="G23" s="1804">
        <f>'Expenditures 15-22'!K53-SUM('Expenditures 15-22'!G53,'Expenditures 15-22'!I53)+'Expenditures 15-22'!D257+'Expenditures 15-22'!K330-SUM('Expenditures 15-22'!G330,'Expenditures 15-22'!I330)</f>
        <v>432069</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0</v>
      </c>
      <c r="E41" s="1806">
        <f>SUM(E19:E40)</f>
        <v>3011620</v>
      </c>
      <c r="F41" s="1806">
        <f>SUM(F19:F39)</f>
        <v>0</v>
      </c>
      <c r="G41" s="1806">
        <f>SUM(G19:G40)</f>
        <v>3011620</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0</v>
      </c>
      <c r="F43" s="1807" t="s">
        <v>473</v>
      </c>
      <c r="G43" s="1808">
        <f>F41</f>
        <v>0</v>
      </c>
    </row>
    <row r="44" spans="1:7" ht="12" customHeight="1" x14ac:dyDescent="0.2">
      <c r="A44" s="987"/>
      <c r="B44" s="162"/>
      <c r="C44" s="1001"/>
      <c r="D44" s="1807" t="s">
        <v>474</v>
      </c>
      <c r="E44" s="1808">
        <f>E41</f>
        <v>3011620</v>
      </c>
      <c r="F44" s="1807" t="s">
        <v>474</v>
      </c>
      <c r="G44" s="1808">
        <f>G41</f>
        <v>3011620</v>
      </c>
    </row>
    <row r="45" spans="1:7" ht="12" customHeight="1" x14ac:dyDescent="0.2">
      <c r="A45" s="987"/>
      <c r="B45" s="162"/>
      <c r="C45" s="162"/>
      <c r="D45" s="1809" t="s">
        <v>1006</v>
      </c>
      <c r="E45" s="1810">
        <f>(E43/E44)</f>
        <v>0</v>
      </c>
      <c r="F45" s="1809" t="s">
        <v>1006</v>
      </c>
      <c r="G45" s="1810">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51" sqref="F5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Plano Area Special Ed Coop</v>
      </c>
      <c r="D6" s="2294"/>
      <c r="E6" s="2294"/>
      <c r="F6" s="1852"/>
    </row>
    <row r="7" spans="1:10" ht="11.25" customHeight="1" thickBot="1" x14ac:dyDescent="0.3">
      <c r="A7" s="1850"/>
      <c r="B7" s="1851"/>
      <c r="C7" s="2295">
        <f>COVER!A13</f>
        <v>24047088061</v>
      </c>
      <c r="D7" s="2295"/>
      <c r="E7" s="2295"/>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2064</v>
      </c>
      <c r="D13" s="1865" t="s">
        <v>2064</v>
      </c>
      <c r="E13" s="1868"/>
      <c r="F13" s="1867" t="s">
        <v>2080</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20" sqref="J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Plano Area Special Ed Coop</v>
      </c>
      <c r="J6" s="2315"/>
      <c r="Q6" s="1664"/>
    </row>
    <row r="7" spans="1:17" x14ac:dyDescent="0.2">
      <c r="A7" s="2316" t="s">
        <v>869</v>
      </c>
      <c r="B7" s="2317"/>
      <c r="C7" s="2317"/>
      <c r="D7" s="2317"/>
      <c r="E7" s="2318"/>
      <c r="F7" s="1017"/>
      <c r="G7" s="1009"/>
      <c r="H7" s="1016" t="s">
        <v>372</v>
      </c>
      <c r="I7" s="2319">
        <f>COVER!A13</f>
        <v>24047088061</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221903</v>
      </c>
      <c r="F12" s="1039"/>
      <c r="G12" s="1811">
        <f t="shared" ref="G12:G18" si="0">SUM(E12:F12)</f>
        <v>221903</v>
      </c>
      <c r="H12" s="1040">
        <v>258531</v>
      </c>
      <c r="I12" s="1039"/>
      <c r="J12" s="1811">
        <f t="shared" ref="J12:J18" si="1">SUM(H12:I12)</f>
        <v>258531</v>
      </c>
    </row>
    <row r="13" spans="1:17" ht="15" customHeight="1" x14ac:dyDescent="0.2">
      <c r="A13" s="1035">
        <v>2</v>
      </c>
      <c r="B13" s="1036" t="s">
        <v>42</v>
      </c>
      <c r="C13" s="1037"/>
      <c r="D13" s="1038">
        <v>2330</v>
      </c>
      <c r="E13" s="1811">
        <f>'Expenditures 15-22'!K51</f>
        <v>198480</v>
      </c>
      <c r="F13" s="1039"/>
      <c r="G13" s="1811">
        <f t="shared" si="0"/>
        <v>198480</v>
      </c>
      <c r="H13" s="1040">
        <v>204068</v>
      </c>
      <c r="I13" s="1039"/>
      <c r="J13" s="1811">
        <f t="shared" si="1"/>
        <v>204068</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3147</v>
      </c>
      <c r="F16" s="1039"/>
      <c r="G16" s="1811">
        <f t="shared" si="0"/>
        <v>3147</v>
      </c>
      <c r="H16" s="1040">
        <v>10000</v>
      </c>
      <c r="I16" s="1039"/>
      <c r="J16" s="1811">
        <f t="shared" si="1"/>
        <v>10000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423530</v>
      </c>
      <c r="F19" s="1813">
        <f t="shared" si="2"/>
        <v>0</v>
      </c>
      <c r="G19" s="1813">
        <f t="shared" si="2"/>
        <v>423530</v>
      </c>
      <c r="H19" s="1813">
        <f t="shared" si="2"/>
        <v>472599</v>
      </c>
      <c r="I19" s="1813">
        <f t="shared" si="2"/>
        <v>0</v>
      </c>
      <c r="J19" s="1813">
        <f t="shared" si="2"/>
        <v>472599</v>
      </c>
    </row>
    <row r="20" spans="1:10" ht="13.5" thickTop="1" x14ac:dyDescent="0.2">
      <c r="A20" s="1035">
        <v>9</v>
      </c>
      <c r="B20" s="2326" t="s">
        <v>1981</v>
      </c>
      <c r="C20" s="2326"/>
      <c r="D20" s="2327"/>
      <c r="E20" s="1046"/>
      <c r="F20" s="1046"/>
      <c r="G20" s="1046"/>
      <c r="H20" s="1046"/>
      <c r="I20" s="1046"/>
      <c r="J20" s="1814">
        <f>IF(AND(G19&gt;0,J19&gt;0),(((J19-G19)/G19)),"Enter Budget Data")</f>
        <v>0.11585720019833305</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Plano Area Special Ed Coop</v>
      </c>
    </row>
    <row r="65" spans="2:2" x14ac:dyDescent="0.2">
      <c r="B65" s="1070">
        <f>COVER!A13</f>
        <v>24047088061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7" sqref="E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3629787</v>
      </c>
      <c r="C8" s="1815">
        <f>'Acct Summary 7-8'!D8</f>
        <v>0</v>
      </c>
      <c r="D8" s="1815">
        <f>'Acct Summary 7-8'!F8</f>
        <v>0</v>
      </c>
      <c r="E8" s="1815">
        <f>'Acct Summary 7-8'!I8</f>
        <v>0</v>
      </c>
      <c r="F8" s="1815">
        <f>SUM(B8:E8)</f>
        <v>3629787</v>
      </c>
    </row>
    <row r="9" spans="1:8" s="1079" customFormat="1" ht="14.25" customHeight="1" thickBot="1" x14ac:dyDescent="0.25">
      <c r="A9" s="1078" t="s">
        <v>1369</v>
      </c>
      <c r="B9" s="1816">
        <f>'Acct Summary 7-8'!C17</f>
        <v>3680794</v>
      </c>
      <c r="C9" s="1816">
        <f>'Acct Summary 7-8'!D17</f>
        <v>0</v>
      </c>
      <c r="D9" s="1816">
        <f>'Acct Summary 7-8'!F17</f>
        <v>0</v>
      </c>
      <c r="E9" s="1815"/>
      <c r="F9" s="1815">
        <f>SUM(B9:E9)</f>
        <v>3680794</v>
      </c>
    </row>
    <row r="10" spans="1:8" s="1079" customFormat="1" ht="14.25" thickTop="1" thickBot="1" x14ac:dyDescent="0.25">
      <c r="A10" s="1080" t="s">
        <v>1370</v>
      </c>
      <c r="B10" s="1817">
        <f>(B8-B9)</f>
        <v>-51007</v>
      </c>
      <c r="C10" s="1817">
        <f>(C8-C9)</f>
        <v>0</v>
      </c>
      <c r="D10" s="1817">
        <f>(D8-D9)</f>
        <v>0</v>
      </c>
      <c r="E10" s="1816">
        <f>(E8-E9)</f>
        <v>0</v>
      </c>
      <c r="F10" s="1818">
        <f>SUM(F8-F9)</f>
        <v>-51007</v>
      </c>
    </row>
    <row r="11" spans="1:8" s="1079" customFormat="1" ht="14.25" thickTop="1" thickBot="1" x14ac:dyDescent="0.25">
      <c r="A11" s="1081" t="s">
        <v>1985</v>
      </c>
      <c r="B11" s="1819">
        <f>'Acct Summary 7-8'!C81</f>
        <v>552055</v>
      </c>
      <c r="C11" s="1819">
        <f>'Acct Summary 7-8'!D81</f>
        <v>0</v>
      </c>
      <c r="D11" s="1819">
        <f>'Acct Summary 7-8'!F81</f>
        <v>0</v>
      </c>
      <c r="E11" s="1819">
        <f>'Acct Summary 7-8'!I81</f>
        <v>0</v>
      </c>
      <c r="F11" s="1820">
        <f>SUM(B11:E11)</f>
        <v>552055</v>
      </c>
    </row>
    <row r="12" spans="1:8" ht="16.5" customHeight="1" thickTop="1" x14ac:dyDescent="0.2">
      <c r="A12" s="1082"/>
      <c r="B12" s="1083"/>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24047088061</v>
      </c>
    </row>
    <row r="3" spans="1:2" x14ac:dyDescent="0.2">
      <c r="A3" t="s">
        <v>956</v>
      </c>
      <c r="B3" s="138" t="str">
        <f>COVER!A15</f>
        <v>KENDALL</v>
      </c>
    </row>
    <row r="4" spans="1:2" x14ac:dyDescent="0.2">
      <c r="A4" t="s">
        <v>1007</v>
      </c>
      <c r="B4" s="138" t="str">
        <f>COVER!A17</f>
        <v>Plano Area Special Ed Coop</v>
      </c>
    </row>
    <row r="5" spans="1:2" x14ac:dyDescent="0.2">
      <c r="A5" t="s">
        <v>704</v>
      </c>
      <c r="B5" s="138" t="str">
        <f>COVER!A38</f>
        <v>TONY BAKER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065-037815</v>
      </c>
    </row>
    <row r="16" spans="1:2" x14ac:dyDescent="0.2">
      <c r="A16" t="s">
        <v>422</v>
      </c>
      <c r="B16" s="138" t="str">
        <f>COVER!T13</f>
        <v>Lauterbach &amp; Amen</v>
      </c>
    </row>
    <row r="17" spans="1:2" x14ac:dyDescent="0.2">
      <c r="A17" t="s">
        <v>884</v>
      </c>
      <c r="B17" s="138" t="str">
        <f>COVER!T15</f>
        <v>Don Shaw</v>
      </c>
    </row>
    <row r="18" spans="1:2" x14ac:dyDescent="0.2">
      <c r="A18" t="s">
        <v>1150</v>
      </c>
      <c r="B18" s="138" t="str">
        <f>COVER!T17</f>
        <v>668 N. River Rd</v>
      </c>
    </row>
    <row r="19" spans="1:2" x14ac:dyDescent="0.2">
      <c r="A19" t="s">
        <v>886</v>
      </c>
      <c r="B19" s="138" t="str">
        <f>COVER!T25</f>
        <v>dshaw@lauterbachamen.com</v>
      </c>
    </row>
    <row r="20" spans="1:2" x14ac:dyDescent="0.2">
      <c r="A20" t="s">
        <v>887</v>
      </c>
      <c r="B20" s="138" t="str">
        <f>COVER!T19</f>
        <v>Naperville</v>
      </c>
    </row>
    <row r="21" spans="1:2" x14ac:dyDescent="0.2">
      <c r="A21" t="s">
        <v>479</v>
      </c>
      <c r="B21" s="138" t="str">
        <f>COVER!X19</f>
        <v>IL</v>
      </c>
    </row>
    <row r="22" spans="1:2" x14ac:dyDescent="0.2">
      <c r="A22" t="s">
        <v>888</v>
      </c>
      <c r="B22" s="138">
        <f>COVER!Z19</f>
        <v>60563</v>
      </c>
    </row>
    <row r="23" spans="1:2" x14ac:dyDescent="0.2">
      <c r="A23" t="s">
        <v>1152</v>
      </c>
      <c r="B23" s="138">
        <f>COVER!T21</f>
        <v>6303931483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552055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552055</v>
      </c>
      <c r="D92" s="2" t="str">
        <f t="shared" si="0"/>
        <v>Error?</v>
      </c>
    </row>
    <row r="93" spans="1:4" x14ac:dyDescent="0.2">
      <c r="A93" s="5">
        <v>32</v>
      </c>
      <c r="B93" s="138">
        <f>'Assets-Liab 5-6'!C41</f>
        <v>552055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217984</v>
      </c>
      <c r="D717" s="2" t="str">
        <f t="shared" si="10"/>
        <v>Error?</v>
      </c>
    </row>
    <row r="718" spans="1:4" x14ac:dyDescent="0.2">
      <c r="A718" s="5">
        <v>657</v>
      </c>
      <c r="B718" s="138">
        <f>'Expenditures 15-22'!C14</f>
        <v>213806</v>
      </c>
      <c r="D718" s="2" t="str">
        <f t="shared" si="10"/>
        <v>Error?</v>
      </c>
    </row>
    <row r="719" spans="1:4" x14ac:dyDescent="0.2">
      <c r="A719" s="5">
        <v>658</v>
      </c>
      <c r="B719" s="138">
        <f>'Expenditures 15-22'!C15</f>
        <v>58311</v>
      </c>
      <c r="D719" s="2" t="str">
        <f t="shared" si="10"/>
        <v>Error?</v>
      </c>
    </row>
    <row r="720" spans="1:4" x14ac:dyDescent="0.2">
      <c r="A720" s="5">
        <v>659</v>
      </c>
      <c r="B720" s="138">
        <f>'Expenditures 15-22'!C33</f>
        <v>1500964</v>
      </c>
      <c r="C720" s="2" t="s">
        <v>573</v>
      </c>
      <c r="D720" s="2" t="str">
        <f t="shared" si="10"/>
        <v>Error?</v>
      </c>
    </row>
    <row r="721" spans="1:4" x14ac:dyDescent="0.2">
      <c r="A721" s="5">
        <v>660</v>
      </c>
      <c r="B721" s="138">
        <f>'Expenditures 15-22'!C36</f>
        <v>335314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145540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480854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154445</v>
      </c>
      <c r="D733" s="2" t="str">
        <f t="shared" si="10"/>
        <v>Error?</v>
      </c>
    </row>
    <row r="734" spans="1:4" x14ac:dyDescent="0.2">
      <c r="A734" s="5">
        <v>673</v>
      </c>
      <c r="B734" s="138">
        <f>'Expenditures 15-22'!C53</f>
        <v>338422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819276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2320240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22374</v>
      </c>
      <c r="D775" s="2" t="str">
        <f t="shared" si="11"/>
        <v>Error?</v>
      </c>
    </row>
    <row r="776" spans="1:4" x14ac:dyDescent="0.2">
      <c r="A776" s="5">
        <v>715</v>
      </c>
      <c r="B776" s="138">
        <f>'Expenditures 15-22'!D14</f>
        <v>15088</v>
      </c>
      <c r="D776" s="2" t="str">
        <f t="shared" si="11"/>
        <v>Error?</v>
      </c>
    </row>
    <row r="777" spans="1:4" x14ac:dyDescent="0.2">
      <c r="A777" s="5">
        <v>716</v>
      </c>
      <c r="B777" s="138">
        <f>'Expenditures 15-22'!D15</f>
        <v>265</v>
      </c>
      <c r="D777" s="2" t="str">
        <f t="shared" si="11"/>
        <v>Error?</v>
      </c>
    </row>
    <row r="778" spans="1:4" x14ac:dyDescent="0.2">
      <c r="A778" s="5">
        <v>717</v>
      </c>
      <c r="B778" s="138">
        <f>'Expenditures 15-22'!D33</f>
        <v>171646</v>
      </c>
      <c r="C778" s="2" t="s">
        <v>573</v>
      </c>
      <c r="D778" s="2" t="str">
        <f t="shared" si="11"/>
        <v>Error?</v>
      </c>
    </row>
    <row r="779" spans="1:4" x14ac:dyDescent="0.2">
      <c r="A779" s="5">
        <v>718</v>
      </c>
      <c r="B779" s="138">
        <f>'Expenditures 15-22'!D36</f>
        <v>44508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44613</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25878</v>
      </c>
      <c r="D791" s="2" t="str">
        <f t="shared" si="11"/>
        <v>Error?</v>
      </c>
    </row>
    <row r="792" spans="1:4" x14ac:dyDescent="0.2">
      <c r="A792" s="5">
        <v>731</v>
      </c>
      <c r="B792" s="138">
        <f>'Expenditures 15-22'!D53</f>
        <v>38317</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82930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254576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5742</v>
      </c>
      <c r="D833" s="2" t="str">
        <f t="shared" si="12"/>
        <v>Error?</v>
      </c>
    </row>
    <row r="834" spans="1:4" x14ac:dyDescent="0.2">
      <c r="A834" s="5">
        <v>773</v>
      </c>
      <c r="B834" s="138">
        <f>'Expenditures 15-22'!E14</f>
        <v>649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18003</v>
      </c>
      <c r="C836" s="2" t="s">
        <v>573</v>
      </c>
      <c r="D836" s="2" t="str">
        <f t="shared" si="12"/>
        <v>Error?</v>
      </c>
    </row>
    <row r="837" spans="1:4" x14ac:dyDescent="0.2">
      <c r="A837" s="5">
        <v>776</v>
      </c>
      <c r="B837" s="138">
        <f>'Expenditures 15-22'!E36</f>
        <v>290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11995</v>
      </c>
      <c r="D839" s="2" t="str">
        <f t="shared" si="12"/>
        <v>Error?</v>
      </c>
    </row>
    <row r="840" spans="1:4" x14ac:dyDescent="0.2">
      <c r="A840" s="5">
        <v>779</v>
      </c>
      <c r="B840" s="138">
        <f>'Expenditures 15-22'!E39</f>
        <v>1287</v>
      </c>
      <c r="D840" s="2" t="str">
        <f t="shared" si="12"/>
        <v>Error?</v>
      </c>
    </row>
    <row r="841" spans="1:4" x14ac:dyDescent="0.2">
      <c r="A841" s="5">
        <v>780</v>
      </c>
      <c r="B841" s="138">
        <f>'Expenditures 15-22'!E40</f>
        <v>145099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158671</v>
      </c>
      <c r="C843" s="2" t="s">
        <v>573</v>
      </c>
      <c r="D843" s="2" t="str">
        <f t="shared" si="12"/>
        <v>Error?</v>
      </c>
    </row>
    <row r="844" spans="1:4" x14ac:dyDescent="0.2">
      <c r="A844" s="5">
        <v>783</v>
      </c>
      <c r="B844" s="138">
        <f>'Expenditures 15-22'!E44</f>
        <v>42998</v>
      </c>
      <c r="D844" s="2" t="str">
        <f t="shared" si="12"/>
        <v>Error?</v>
      </c>
    </row>
    <row r="845" spans="1:4" x14ac:dyDescent="0.2">
      <c r="A845" s="5">
        <v>784</v>
      </c>
      <c r="B845" s="138">
        <f>'Expenditures 15-22'!E45</f>
        <v>17750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60748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38181</v>
      </c>
      <c r="D849" s="2" t="str">
        <f t="shared" si="12"/>
        <v>Error?</v>
      </c>
    </row>
    <row r="850" spans="1:4" x14ac:dyDescent="0.2">
      <c r="A850" s="5">
        <v>789</v>
      </c>
      <c r="B850" s="138">
        <f>'Expenditures 15-22'!E53</f>
        <v>40245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259664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297627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1092</v>
      </c>
      <c r="D891" s="2" t="str">
        <f t="shared" si="12"/>
        <v>Error?</v>
      </c>
    </row>
    <row r="892" spans="1:4" x14ac:dyDescent="0.2">
      <c r="A892" s="5">
        <v>831</v>
      </c>
      <c r="B892" s="138">
        <f>'Expenditures 15-22'!F14</f>
        <v>2031</v>
      </c>
      <c r="D892" s="2" t="str">
        <f t="shared" si="12"/>
        <v>Error?</v>
      </c>
    </row>
    <row r="893" spans="1:4" x14ac:dyDescent="0.2">
      <c r="A893" s="5">
        <v>832</v>
      </c>
      <c r="B893" s="138">
        <f>'Expenditures 15-22'!F15</f>
        <v>206</v>
      </c>
      <c r="D893" s="2" t="str">
        <f t="shared" si="12"/>
        <v>Error?</v>
      </c>
    </row>
    <row r="894" spans="1:4" x14ac:dyDescent="0.2">
      <c r="A894" s="5">
        <v>833</v>
      </c>
      <c r="B894" s="138">
        <f>'Expenditures 15-22'!F33</f>
        <v>21672</v>
      </c>
      <c r="C894" s="2" t="s">
        <v>573</v>
      </c>
      <c r="D894" s="2" t="str">
        <f t="shared" si="12"/>
        <v>Error?</v>
      </c>
    </row>
    <row r="895" spans="1:4" x14ac:dyDescent="0.2">
      <c r="A895" s="5">
        <v>834</v>
      </c>
      <c r="B895" s="138">
        <f>'Expenditures 15-22'!F36</f>
        <v>868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3225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332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4425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12358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12358</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3399</v>
      </c>
      <c r="D907" s="2" t="str">
        <f t="shared" si="13"/>
        <v>Error?</v>
      </c>
    </row>
    <row r="908" spans="1:4" x14ac:dyDescent="0.2">
      <c r="A908" s="5">
        <v>847</v>
      </c>
      <c r="B908" s="138">
        <f>'Expenditures 15-22'!F53</f>
        <v>3399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20182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41854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2007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2007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61299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61299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63306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63306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680260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680260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247192</v>
      </c>
      <c r="C1105" s="2" t="s">
        <v>573</v>
      </c>
      <c r="D1105" s="2" t="str">
        <f t="shared" si="16"/>
        <v>Error?</v>
      </c>
    </row>
    <row r="1106" spans="1:4" x14ac:dyDescent="0.2">
      <c r="A1106" s="5">
        <v>1045</v>
      </c>
      <c r="B1106" s="138">
        <f>'Expenditures 15-22'!K14</f>
        <v>234735</v>
      </c>
      <c r="C1106" s="2" t="s">
        <v>573</v>
      </c>
      <c r="D1106" s="2" t="str">
        <f t="shared" si="16"/>
        <v>Error?</v>
      </c>
    </row>
    <row r="1107" spans="1:4" x14ac:dyDescent="0.2">
      <c r="A1107" s="5">
        <v>1046</v>
      </c>
      <c r="B1107" s="138">
        <f>'Expenditures 15-22'!K15</f>
        <v>58782</v>
      </c>
      <c r="C1107" s="2" t="s">
        <v>573</v>
      </c>
      <c r="D1107" s="2" t="str">
        <f t="shared" si="16"/>
        <v>Error?</v>
      </c>
    </row>
    <row r="1108" spans="1:4" x14ac:dyDescent="0.2">
      <c r="A1108" s="5">
        <v>1047</v>
      </c>
      <c r="B1108" s="138">
        <f>'Expenditures 15-22'!K33</f>
        <v>1729870</v>
      </c>
      <c r="C1108" s="2" t="s">
        <v>573</v>
      </c>
      <c r="D1108" s="2" t="str">
        <f t="shared" si="16"/>
        <v>Error?</v>
      </c>
    </row>
    <row r="1109" spans="1:4" x14ac:dyDescent="0.2">
      <c r="A1109" s="5">
        <v>1048</v>
      </c>
      <c r="B1109" s="138">
        <f>'Expenditures 15-22'!K36</f>
        <v>380980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163064</v>
      </c>
      <c r="C1111" s="2" t="s">
        <v>573</v>
      </c>
      <c r="D1111" s="2" t="str">
        <f t="shared" si="16"/>
        <v>Error?</v>
      </c>
    </row>
    <row r="1112" spans="1:4" x14ac:dyDescent="0.2">
      <c r="A1112" s="5">
        <v>1051</v>
      </c>
      <c r="B1112" s="138">
        <f>'Expenditures 15-22'!K39</f>
        <v>1287</v>
      </c>
      <c r="C1112" s="2" t="s">
        <v>573</v>
      </c>
      <c r="D1112" s="2" t="str">
        <f t="shared" si="16"/>
        <v>Error?</v>
      </c>
    </row>
    <row r="1113" spans="1:4" x14ac:dyDescent="0.2">
      <c r="A1113" s="5">
        <v>1052</v>
      </c>
      <c r="B1113" s="138">
        <f>'Expenditures 15-22'!K40</f>
        <v>145431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690762</v>
      </c>
      <c r="C1115" s="2" t="s">
        <v>573</v>
      </c>
      <c r="D1115" s="2" t="str">
        <f t="shared" si="16"/>
        <v>Error?</v>
      </c>
    </row>
    <row r="1116" spans="1:4" x14ac:dyDescent="0.2">
      <c r="A1116" s="5">
        <v>1055</v>
      </c>
      <c r="B1116" s="138">
        <f>'Expenditures 15-22'!K44</f>
        <v>42998</v>
      </c>
      <c r="C1116" s="2" t="s">
        <v>573</v>
      </c>
      <c r="D1116" s="2" t="str">
        <f t="shared" si="16"/>
        <v>Error?</v>
      </c>
    </row>
    <row r="1117" spans="1:4" x14ac:dyDescent="0.2">
      <c r="A1117" s="5">
        <v>1056</v>
      </c>
      <c r="B1117" s="138">
        <f>'Expenditures 15-22'!K45</f>
        <v>32115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75113</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221903</v>
      </c>
      <c r="C1121" s="2" t="s">
        <v>573</v>
      </c>
      <c r="D1121" s="2" t="str">
        <f t="shared" si="16"/>
        <v>Error?</v>
      </c>
    </row>
    <row r="1122" spans="1:4" x14ac:dyDescent="0.2">
      <c r="A1122" s="5">
        <v>1061</v>
      </c>
      <c r="B1122" s="138">
        <f>'Expenditures 15-22'!K53</f>
        <v>420383</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61299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3147</v>
      </c>
      <c r="C1131" s="2" t="s">
        <v>573</v>
      </c>
      <c r="D1131" s="2" t="str">
        <f t="shared" si="16"/>
        <v>Error?</v>
      </c>
    </row>
    <row r="1132" spans="1:4" x14ac:dyDescent="0.2">
      <c r="A1132" s="10">
        <v>1071</v>
      </c>
      <c r="D1132" s="2" t="str">
        <f t="shared" si="16"/>
        <v>OK</v>
      </c>
    </row>
    <row r="1133" spans="1:4" x14ac:dyDescent="0.2">
      <c r="A1133" s="5">
        <v>1072</v>
      </c>
      <c r="B1133" s="138">
        <f>'Expenditures 15-22'!K65</f>
        <v>64446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1250704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700220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3680794</v>
      </c>
      <c r="C1152" s="2" t="s">
        <v>573</v>
      </c>
      <c r="D1152" s="2" t="str">
        <f t="shared" si="17"/>
        <v>Error?</v>
      </c>
    </row>
    <row r="1153" spans="1:4" x14ac:dyDescent="0.2">
      <c r="A1153" s="5">
        <v>1092</v>
      </c>
      <c r="B1153" s="138">
        <f>'Expenditures 15-22'!K115</f>
        <v>-51007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8510</v>
      </c>
      <c r="D1407" s="2" t="str">
        <f t="shared" ref="D1407:D1470" si="21">IF(ISBLANK(B1407),"OK",IF(A1407-B1407=0,"OK","Error?"))</f>
        <v>Error?</v>
      </c>
    </row>
    <row r="1408" spans="1:4" x14ac:dyDescent="0.2">
      <c r="A1408" s="5">
        <v>1347</v>
      </c>
      <c r="B1408" s="138">
        <f>'Expenditures 15-22'!D223</f>
        <v>3529</v>
      </c>
      <c r="D1408" s="2" t="str">
        <f t="shared" si="21"/>
        <v>Error?</v>
      </c>
    </row>
    <row r="1409" spans="1:4" x14ac:dyDescent="0.2">
      <c r="A1409" s="5">
        <v>1348</v>
      </c>
      <c r="B1409" s="138">
        <f>'Expenditures 15-22'!D224</f>
        <v>3493</v>
      </c>
      <c r="D1409" s="2" t="str">
        <f t="shared" si="21"/>
        <v>Error?</v>
      </c>
    </row>
    <row r="1410" spans="1:4" x14ac:dyDescent="0.2">
      <c r="A1410" s="5">
        <v>1349</v>
      </c>
      <c r="B1410" s="138">
        <f>'Expenditures 15-22'!D229</f>
        <v>91955</v>
      </c>
      <c r="C1410" s="2" t="s">
        <v>573</v>
      </c>
      <c r="D1410" s="2" t="str">
        <f t="shared" si="21"/>
        <v>Error?</v>
      </c>
    </row>
    <row r="1411" spans="1:4" x14ac:dyDescent="0.2">
      <c r="A1411" s="5">
        <v>1350</v>
      </c>
      <c r="B1411" s="138">
        <f>'Expenditures 15-22'!D232</f>
        <v>4862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8780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13642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9019</v>
      </c>
      <c r="D1423" s="2" t="str">
        <f t="shared" si="21"/>
        <v>Error?</v>
      </c>
    </row>
    <row r="1424" spans="1:4" x14ac:dyDescent="0.2">
      <c r="A1424" s="5">
        <v>1363</v>
      </c>
      <c r="B1424" s="138">
        <f>'Expenditures 15-22'!D257</f>
        <v>11686</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25328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117283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8510</v>
      </c>
      <c r="C1471" s="2" t="s">
        <v>573</v>
      </c>
      <c r="D1471" s="2" t="str">
        <f t="shared" ref="D1471:D1534" si="22">IF(ISBLANK(B1471),"OK",IF(A1471-B1471=0,"OK","Error?"))</f>
        <v>Error?</v>
      </c>
    </row>
    <row r="1472" spans="1:4" x14ac:dyDescent="0.2">
      <c r="A1472" s="5">
        <v>1411</v>
      </c>
      <c r="B1472" s="138">
        <f>'Expenditures 15-22'!K223</f>
        <v>3529</v>
      </c>
      <c r="C1472" s="2" t="s">
        <v>573</v>
      </c>
      <c r="D1472" s="2" t="str">
        <f t="shared" si="22"/>
        <v>Error?</v>
      </c>
    </row>
    <row r="1473" spans="1:4" x14ac:dyDescent="0.2">
      <c r="A1473" s="5">
        <v>1412</v>
      </c>
      <c r="B1473" s="138">
        <f>'Expenditures 15-22'!K224</f>
        <v>3493</v>
      </c>
      <c r="C1473" s="2" t="s">
        <v>573</v>
      </c>
      <c r="D1473" s="2" t="str">
        <f t="shared" si="22"/>
        <v>Error?</v>
      </c>
    </row>
    <row r="1474" spans="1:4" x14ac:dyDescent="0.2">
      <c r="A1474" s="5">
        <v>1413</v>
      </c>
      <c r="B1474" s="138">
        <f>'Expenditures 15-22'!K229</f>
        <v>91955</v>
      </c>
      <c r="C1474" s="2" t="s">
        <v>573</v>
      </c>
      <c r="D1474" s="2" t="str">
        <f t="shared" si="22"/>
        <v>Error?</v>
      </c>
    </row>
    <row r="1475" spans="1:4" x14ac:dyDescent="0.2">
      <c r="A1475" s="5">
        <v>1414</v>
      </c>
      <c r="B1475" s="138">
        <f>'Expenditures 15-22'!K232</f>
        <v>4862</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8780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13642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9019</v>
      </c>
      <c r="C1487" s="2" t="s">
        <v>573</v>
      </c>
      <c r="D1487" s="2" t="str">
        <f t="shared" si="22"/>
        <v>Error?</v>
      </c>
    </row>
    <row r="1488" spans="1:4" x14ac:dyDescent="0.2">
      <c r="A1488" s="5">
        <v>1427</v>
      </c>
      <c r="B1488" s="138">
        <f>'Expenditures 15-22'!K257</f>
        <v>11686</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25328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117283</v>
      </c>
      <c r="C1517" s="2" t="s">
        <v>573</v>
      </c>
      <c r="D1517" s="2" t="str">
        <f t="shared" si="22"/>
        <v>Error?</v>
      </c>
    </row>
    <row r="1518" spans="1:4" x14ac:dyDescent="0.2">
      <c r="A1518" s="5">
        <v>1457</v>
      </c>
      <c r="B1518" s="138">
        <f>'Expenditures 15-22'!K296</f>
        <v>717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825028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552055</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-222683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19960</v>
      </c>
      <c r="C2088" s="2" t="s">
        <v>573</v>
      </c>
      <c r="D2088" s="2" t="str">
        <f t="shared" si="31"/>
        <v>Error?</v>
      </c>
    </row>
    <row r="2089" spans="1:4" x14ac:dyDescent="0.2">
      <c r="A2089" s="5">
        <v>2028</v>
      </c>
      <c r="B2089" s="138">
        <f>'Expenditures 15-22'!K92</f>
        <v>680260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2413772</v>
      </c>
      <c r="C2551" s="2" t="s">
        <v>573</v>
      </c>
      <c r="D2551" s="2" t="str">
        <f t="shared" si="38"/>
        <v>Error?</v>
      </c>
    </row>
    <row r="2552" spans="1:4" x14ac:dyDescent="0.2">
      <c r="A2552" s="10">
        <v>2491</v>
      </c>
      <c r="D2552" s="2" t="str">
        <f t="shared" si="38"/>
        <v>OK</v>
      </c>
    </row>
    <row r="2553" spans="1:4" x14ac:dyDescent="0.2">
      <c r="A2553" s="5">
        <v>2492</v>
      </c>
      <c r="B2553" s="138">
        <f>'Acct Summary 7-8'!C6</f>
        <v>353459</v>
      </c>
      <c r="C2553" s="2" t="s">
        <v>573</v>
      </c>
      <c r="D2553" s="2" t="str">
        <f t="shared" si="38"/>
        <v>Error?</v>
      </c>
    </row>
    <row r="2554" spans="1:4" x14ac:dyDescent="0.2">
      <c r="A2554" s="5">
        <v>2493</v>
      </c>
      <c r="B2554" s="138">
        <f>'Acct Summary 7-8'!C7</f>
        <v>862556</v>
      </c>
      <c r="C2554" s="2" t="s">
        <v>573</v>
      </c>
      <c r="D2554" s="2" t="str">
        <f t="shared" si="38"/>
        <v>Error?</v>
      </c>
    </row>
    <row r="2555" spans="1:4" x14ac:dyDescent="0.2">
      <c r="A2555" s="5">
        <v>2494</v>
      </c>
      <c r="B2555" s="138">
        <f>'Acct Summary 7-8'!C8</f>
        <v>3629787</v>
      </c>
      <c r="C2555" s="2" t="s">
        <v>573</v>
      </c>
      <c r="D2555" s="2" t="str">
        <f t="shared" si="38"/>
        <v>Error?</v>
      </c>
    </row>
    <row r="2556" spans="1:4" x14ac:dyDescent="0.2">
      <c r="A2556" s="5">
        <v>2495</v>
      </c>
      <c r="B2556" s="138">
        <f>'Acct Summary 7-8'!C12</f>
        <v>1729870</v>
      </c>
      <c r="C2556" s="2" t="s">
        <v>573</v>
      </c>
      <c r="D2556" s="2" t="str">
        <f t="shared" si="38"/>
        <v>Error?</v>
      </c>
    </row>
    <row r="2557" spans="1:4" x14ac:dyDescent="0.2">
      <c r="A2557" s="5">
        <v>2496</v>
      </c>
      <c r="B2557" s="138">
        <f>'Acct Summary 7-8'!C13</f>
        <v>1250704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700220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3680794</v>
      </c>
      <c r="C2561" s="2" t="s">
        <v>573</v>
      </c>
      <c r="D2561" s="2" t="str">
        <f t="shared" si="39"/>
        <v>Error?</v>
      </c>
    </row>
    <row r="2562" spans="1:4" x14ac:dyDescent="0.2">
      <c r="A2562" s="5">
        <v>2501</v>
      </c>
      <c r="B2562" s="138">
        <f>'Acct Summary 7-8'!C20</f>
        <v>-51007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118000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118000</v>
      </c>
      <c r="C2606" s="2" t="s">
        <v>573</v>
      </c>
      <c r="D2606" s="2" t="str">
        <f t="shared" si="39"/>
        <v>Error?</v>
      </c>
    </row>
    <row r="2607" spans="1:4" x14ac:dyDescent="0.2">
      <c r="A2607" s="5">
        <v>2546</v>
      </c>
      <c r="B2607" s="138">
        <f>'Acct Summary 7-8'!G12</f>
        <v>91955</v>
      </c>
      <c r="C2607" s="2" t="s">
        <v>573</v>
      </c>
      <c r="D2607" s="2" t="str">
        <f t="shared" si="39"/>
        <v>Error?</v>
      </c>
    </row>
    <row r="2608" spans="1:4" x14ac:dyDescent="0.2">
      <c r="A2608" s="5">
        <v>2547</v>
      </c>
      <c r="B2608" s="138">
        <f>'Acct Summary 7-8'!G13</f>
        <v>25328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117283</v>
      </c>
      <c r="C2612" s="2" t="s">
        <v>573</v>
      </c>
      <c r="D2612" s="2" t="str">
        <f t="shared" si="39"/>
        <v>Error?</v>
      </c>
    </row>
    <row r="2613" spans="1:4" x14ac:dyDescent="0.2">
      <c r="A2613" s="5">
        <v>2552</v>
      </c>
      <c r="B2613" s="138">
        <f>'Acct Summary 7-8'!G20</f>
        <v>717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183977</v>
      </c>
      <c r="D2718" s="2" t="str">
        <f t="shared" si="41"/>
        <v>Error?</v>
      </c>
    </row>
    <row r="2719" spans="1:4" x14ac:dyDescent="0.2">
      <c r="A2719" s="5">
        <v>2658</v>
      </c>
      <c r="B2719" s="138">
        <f>'Expenditures 15-22'!D51</f>
        <v>12439</v>
      </c>
      <c r="D2719" s="2" t="str">
        <f t="shared" si="41"/>
        <v>Error?</v>
      </c>
    </row>
    <row r="2720" spans="1:4" x14ac:dyDescent="0.2">
      <c r="A2720" s="5">
        <v>2659</v>
      </c>
      <c r="B2720" s="138">
        <f>'Expenditures 15-22'!E51</f>
        <v>2064</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198480</v>
      </c>
      <c r="C2724" s="2" t="s">
        <v>573</v>
      </c>
      <c r="D2724" s="2" t="str">
        <f t="shared" si="41"/>
        <v>Error?</v>
      </c>
    </row>
    <row r="2725" spans="1:4" x14ac:dyDescent="0.2">
      <c r="A2725" s="5">
        <v>2664</v>
      </c>
      <c r="B2725" s="138">
        <f>'Expenditures 15-22'!D247</f>
        <v>2667</v>
      </c>
      <c r="D2725" s="2" t="str">
        <f t="shared" si="41"/>
        <v>Error?</v>
      </c>
    </row>
    <row r="2726" spans="1:4" x14ac:dyDescent="0.2">
      <c r="A2726" s="5">
        <v>2665</v>
      </c>
      <c r="B2726" s="138">
        <f>'Expenditures 15-22'!K247</f>
        <v>2667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221966</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19960</v>
      </c>
      <c r="C2789" s="2" t="s">
        <v>573</v>
      </c>
      <c r="D2789" s="2" t="str">
        <f t="shared" si="42"/>
        <v>Error?</v>
      </c>
    </row>
    <row r="2790" spans="1:4" x14ac:dyDescent="0.2">
      <c r="A2790" s="5">
        <v>2729</v>
      </c>
      <c r="B2790" s="138">
        <f>'Expenditures 15-22'!E102</f>
        <v>19960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221966</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19960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19960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221966</v>
      </c>
      <c r="C3231" s="2" t="s">
        <v>573</v>
      </c>
      <c r="D3231" s="2" t="str">
        <f t="shared" si="49"/>
        <v>Error?</v>
      </c>
    </row>
    <row r="3232" spans="1:4" x14ac:dyDescent="0.2">
      <c r="A3232" s="5">
        <v>3171</v>
      </c>
      <c r="B3232" s="138">
        <f>'Acct Summary 7-8'!C77</f>
        <v>-221966</v>
      </c>
      <c r="C3232" s="2" t="s">
        <v>573</v>
      </c>
      <c r="D3232" s="2" t="str">
        <f t="shared" si="49"/>
        <v>Error?</v>
      </c>
    </row>
    <row r="3233" spans="1:4" x14ac:dyDescent="0.2">
      <c r="A3233" s="5">
        <v>3172</v>
      </c>
      <c r="B3233" s="138">
        <f>'Acct Summary 7-8'!C78</f>
        <v>-272973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221966</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221966</v>
      </c>
      <c r="C3261" s="2" t="s">
        <v>573</v>
      </c>
      <c r="D3261" s="2" t="str">
        <f t="shared" si="49"/>
        <v>Error?</v>
      </c>
    </row>
    <row r="3262" spans="1:4" x14ac:dyDescent="0.2">
      <c r="A3262" s="5">
        <v>3201</v>
      </c>
      <c r="B3262" s="138">
        <f>'Acct Summary 7-8'!G78</f>
        <v>222683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1010863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133919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11612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18343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1189161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76423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76423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552055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1180418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4810205</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118000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1180418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4861212</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117283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552055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23814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120918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38648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2222820</v>
      </c>
      <c r="D5082" s="2" t="str">
        <f t="shared" si="78"/>
        <v>Error?</v>
      </c>
    </row>
    <row r="5083" spans="1:4" x14ac:dyDescent="0.2">
      <c r="A5083" s="5">
        <v>5022</v>
      </c>
      <c r="B5083" s="138">
        <f>'Revenues 9-14'!C34</f>
        <v>189902</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2412722</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840</v>
      </c>
      <c r="D5119" s="2" t="str">
        <f t="shared" ref="D5119:D5182" si="79">IF(ISBLANK(B5119),"OK",IF(A5119-B5119=0,"OK","Error?"))</f>
        <v>Error?</v>
      </c>
    </row>
    <row r="5120" spans="1:4" x14ac:dyDescent="0.2">
      <c r="A5120" s="5">
        <v>5059</v>
      </c>
      <c r="B5120" s="138">
        <f>'Revenues 9-14'!C108</f>
        <v>1050</v>
      </c>
      <c r="C5120" s="2" t="s">
        <v>573</v>
      </c>
      <c r="D5120" s="2" t="str">
        <f t="shared" si="79"/>
        <v>Error?</v>
      </c>
    </row>
    <row r="5121" spans="1:4" x14ac:dyDescent="0.2">
      <c r="A5121" s="5">
        <v>5060</v>
      </c>
      <c r="B5121" s="138">
        <f>'Revenues 9-14'!C109</f>
        <v>2413772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314811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314811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38648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353459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14208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703616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717824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862556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862556</v>
      </c>
      <c r="C5326" s="2" t="s">
        <v>573</v>
      </c>
      <c r="D5326" s="2" t="str">
        <f t="shared" si="82"/>
        <v>Error?</v>
      </c>
    </row>
    <row r="5327" spans="1:5" x14ac:dyDescent="0.2">
      <c r="A5327" s="5">
        <v>5266</v>
      </c>
      <c r="B5327" s="138">
        <f>'Revenues 9-14'!C268</f>
        <v>3629787</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118000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118000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118000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118000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-272973</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222683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-0.49446703679886966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14424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3161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17585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2199</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2199</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3147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5346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680260</v>
      </c>
      <c r="D6983" s="2" t="str">
        <f t="shared" si="108"/>
        <v>Error?</v>
      </c>
    </row>
    <row r="6984" spans="1:4" x14ac:dyDescent="0.2">
      <c r="A6984">
        <v>6923</v>
      </c>
      <c r="B6984" s="138">
        <f>'Expenditures 15-22'!K86</f>
        <v>680260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680260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22931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22931</v>
      </c>
      <c r="D7624" s="2" t="str">
        <f t="shared" si="124"/>
        <v>Error?</v>
      </c>
      <c r="E7624" s="2" t="s">
        <v>19</v>
      </c>
    </row>
    <row r="7625" spans="1:5" x14ac:dyDescent="0.2">
      <c r="A7625">
        <f t="shared" si="123"/>
        <v>7564</v>
      </c>
      <c r="B7625" s="138">
        <f>'Cap Outlay Deprec 26'!I17</f>
        <v>2293.1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2293.1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3147</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1989</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Plano Area Special Ed Coop</v>
      </c>
      <c r="B7" s="2401"/>
      <c r="C7" s="2401"/>
      <c r="D7" s="2402"/>
      <c r="E7" s="2403">
        <f>COVER!A13</f>
        <v>24047088061</v>
      </c>
      <c r="F7" s="2404"/>
      <c r="G7" s="2410" t="str">
        <f>COVER!T23</f>
        <v>065-037815</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Lauterbach &amp; Amen</v>
      </c>
      <c r="H9" s="2416"/>
      <c r="I9" s="2416"/>
      <c r="J9" s="2416"/>
      <c r="K9" s="2416"/>
      <c r="L9" s="2417"/>
    </row>
    <row r="10" spans="1:29" ht="13.5" customHeight="1" x14ac:dyDescent="0.2">
      <c r="A10" s="2390" t="str">
        <f>COVER!A38</f>
        <v>TONY BAKER</v>
      </c>
      <c r="B10" s="2391"/>
      <c r="C10" s="2391"/>
      <c r="D10" s="2391"/>
      <c r="E10" s="2391"/>
      <c r="F10" s="2392"/>
      <c r="G10" s="2384" t="str">
        <f>COVER!T17</f>
        <v>668 N. River Rd</v>
      </c>
      <c r="H10" s="2385"/>
      <c r="I10" s="2385"/>
      <c r="J10" s="2385"/>
      <c r="K10" s="2385"/>
      <c r="L10" s="2386"/>
    </row>
    <row r="11" spans="1:29" ht="13.5" customHeight="1" x14ac:dyDescent="0.2">
      <c r="A11" s="1184" t="s">
        <v>1519</v>
      </c>
      <c r="B11" s="1185"/>
      <c r="C11" s="1186"/>
      <c r="D11" s="1191"/>
      <c r="E11" s="1186"/>
      <c r="F11" s="1190"/>
      <c r="G11" s="2384" t="str">
        <f>COVER!T19</f>
        <v>Naperville</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dshaw@lauterbachamen.com</v>
      </c>
      <c r="J13" s="2397"/>
      <c r="K13" s="2397"/>
      <c r="L13" s="2398"/>
    </row>
    <row r="14" spans="1:29" ht="13.5" customHeight="1" x14ac:dyDescent="0.2">
      <c r="A14" s="2384" t="str">
        <f>COVER!A19</f>
        <v>800 SOUTH HALE STREET</v>
      </c>
      <c r="B14" s="2385"/>
      <c r="C14" s="2385"/>
      <c r="D14" s="2385"/>
      <c r="E14" s="2385"/>
      <c r="F14" s="2386"/>
      <c r="G14" s="1195" t="s">
        <v>1185</v>
      </c>
      <c r="H14" s="1193"/>
      <c r="I14" s="1193"/>
      <c r="J14" s="1193"/>
      <c r="K14" s="1193"/>
      <c r="L14" s="1194"/>
    </row>
    <row r="15" spans="1:29" ht="13.5" customHeight="1" x14ac:dyDescent="0.2">
      <c r="A15" s="2384" t="str">
        <f>COVER!A21</f>
        <v>PLANO</v>
      </c>
      <c r="B15" s="2385"/>
      <c r="C15" s="2385"/>
      <c r="D15" s="2385"/>
      <c r="E15" s="2385"/>
      <c r="F15" s="2386"/>
      <c r="G15" s="2381" t="str">
        <f>COVER!T15</f>
        <v>Don Shaw</v>
      </c>
      <c r="H15" s="2382"/>
      <c r="I15" s="2382"/>
      <c r="J15" s="2382"/>
      <c r="K15" s="2382"/>
      <c r="L15" s="2383"/>
    </row>
    <row r="16" spans="1:29" ht="12.2" customHeight="1" x14ac:dyDescent="0.2">
      <c r="A16" s="2406">
        <f>COVER!A25</f>
        <v>60545</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f>COVER!T21</f>
        <v>6303931483</v>
      </c>
      <c r="H18" s="2401"/>
      <c r="I18" s="2401"/>
      <c r="J18" s="2401"/>
      <c r="K18" s="2400">
        <f>COVER!X21</f>
        <v>6303932516</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Plano Area Special Ed Coop</v>
      </c>
      <c r="B1" s="2399"/>
      <c r="C1" s="2399"/>
      <c r="D1" s="2399"/>
    </row>
    <row r="2" spans="1:11" s="1212" customFormat="1" ht="12.75" x14ac:dyDescent="0.2">
      <c r="A2" s="2423">
        <f>'Single Audit Cover'!E7</f>
        <v>24047088061</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Plano Area Special Ed Coop</v>
      </c>
      <c r="B1" s="2426"/>
      <c r="C1" s="2426"/>
      <c r="D1" s="2426"/>
      <c r="E1" s="2426"/>
    </row>
    <row r="2" spans="1:5" x14ac:dyDescent="0.2">
      <c r="A2" s="2427">
        <f>'Single Audit Cover'!E7</f>
        <v>24047088061</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862556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-120918</v>
      </c>
    </row>
    <row r="19" spans="1:4" ht="13.5" thickBot="1" x14ac:dyDescent="0.25">
      <c r="A19" s="1262" t="s">
        <v>1235</v>
      </c>
      <c r="D19" s="1263">
        <f>SUM(D10:D17)</f>
        <v>741638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741638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741638</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Plano Area Special Ed Coop</v>
      </c>
      <c r="C1" s="2430"/>
      <c r="D1" s="2430"/>
      <c r="E1" s="2430"/>
      <c r="F1" s="2430"/>
      <c r="G1" s="2430"/>
      <c r="H1" s="2430"/>
      <c r="I1" s="2430"/>
      <c r="J1" s="2430"/>
      <c r="K1" s="2430"/>
      <c r="L1" s="2430"/>
      <c r="M1" s="2430"/>
    </row>
    <row r="2" spans="2:14" ht="15" x14ac:dyDescent="0.2">
      <c r="B2" s="2431">
        <f>'Single Audit Cover'!E7</f>
        <v>24047088061</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Plano Area Special Ed Coop</v>
      </c>
      <c r="B1" s="2443"/>
      <c r="C1" s="2443"/>
      <c r="D1" s="2443"/>
      <c r="E1" s="2443"/>
      <c r="F1" s="2443"/>
    </row>
    <row r="2" spans="1:7" ht="13.5" customHeight="1" x14ac:dyDescent="0.2">
      <c r="A2" s="2431">
        <f>'Single Audit Cover'!E7</f>
        <v>24047088061</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Plano Area Special Ed Coop</v>
      </c>
      <c r="C1" s="2458"/>
      <c r="D1" s="2458"/>
      <c r="E1" s="2458"/>
      <c r="F1" s="2458"/>
      <c r="G1" s="2458"/>
      <c r="H1" s="2458"/>
      <c r="I1" s="2458"/>
      <c r="J1" s="1406"/>
    </row>
    <row r="2" spans="2:10" s="317" customFormat="1" ht="12.75" customHeight="1" x14ac:dyDescent="0.2">
      <c r="B2" s="2459">
        <f>'Single Audit Cover'!E7</f>
        <v>24047088061</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1841</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Plano Area Special Ed Coop</v>
      </c>
      <c r="C1" s="2457"/>
      <c r="D1" s="2457"/>
      <c r="E1" s="2457"/>
      <c r="F1" s="2457"/>
      <c r="G1" s="2457"/>
      <c r="H1" s="2457"/>
      <c r="I1" s="2457"/>
      <c r="J1" s="2457"/>
      <c r="K1" s="2457"/>
      <c r="L1" s="1371"/>
      <c r="M1" s="1371"/>
    </row>
    <row r="2" spans="1:13" ht="12" customHeight="1" x14ac:dyDescent="0.2">
      <c r="B2" s="2459">
        <f>'Single Audit Cover'!E7</f>
        <v>24047088061</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Plano Area Special Ed Coop</v>
      </c>
      <c r="C1" s="2480"/>
      <c r="D1" s="2480"/>
      <c r="E1" s="2480"/>
      <c r="F1" s="2480"/>
      <c r="G1" s="2480"/>
      <c r="H1" s="2480"/>
      <c r="I1" s="2480"/>
      <c r="J1" s="2480"/>
      <c r="K1" s="2480"/>
      <c r="L1" s="1449"/>
    </row>
    <row r="2" spans="1:12" ht="12.75" customHeight="1" x14ac:dyDescent="0.2">
      <c r="B2" s="2481">
        <f>'Single Audit Cover'!E7</f>
        <v>24047088061</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Plano Area Special Ed Coop</v>
      </c>
      <c r="C1" s="2457"/>
      <c r="D1" s="2457"/>
      <c r="E1" s="1469"/>
    </row>
    <row r="2" spans="2:5" s="1279" customFormat="1" ht="12.75" customHeight="1" x14ac:dyDescent="0.2">
      <c r="B2" s="2459">
        <f>'Single Audit Cover'!E7</f>
        <v>24047088061</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www.w3.org/XML/1998/namespace"/>
    <ds:schemaRef ds:uri="http://purl.org/dc/elements/1.1/"/>
    <ds:schemaRef ds:uri="http://schemas.microsoft.com/sharepoint/v3"/>
    <ds:schemaRef ds:uri="http://purl.org/dc/dcmitype/"/>
    <ds:schemaRef ds:uri="http://schemas.microsoft.com/office/2006/documentManagement/types"/>
    <ds:schemaRef ds:uri="http://schemas.microsoft.com/office/infopath/2007/PartnerControls"/>
    <ds:schemaRef ds:uri="d21dc803-237d-4c68-8692-8d731fd29118"/>
    <ds:schemaRef ds:uri="4d435f69-8686-490b-bd6d-b153bf22ab50"/>
    <ds:schemaRef ds:uri="http://schemas.microsoft.com/office/2006/metadata/propertie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2019-11-14T20:46:34Z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RFF</vt:lpwstr>
  </property>
  <property fmtid="{D5CDD505-2E9C-101B-9397-08002B2CF9AE}" pid="6" name="workpaperIndex">
    <vt:lpwstr>RFF 3</vt:lpwstr>
  </property>
</Properties>
</file>