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D9A6B10A-F053-4589-A69B-CB5BF56332DF}"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6" i="29" l="1"/>
  <c r="D51" i="29"/>
  <c r="D50" i="29"/>
  <c r="F40" i="29"/>
  <c r="E40" i="29"/>
  <c r="C14" i="29"/>
  <c r="E39" i="29"/>
  <c r="D13" i="29"/>
  <c r="D39" i="29"/>
  <c r="C39" i="29"/>
  <c r="C13"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6833" i="106" s="1"/>
  <c r="D6833" i="106" s="1"/>
  <c r="B7761" i="106"/>
  <c r="D7761" i="106" s="1"/>
  <c r="L127" i="29"/>
  <c r="L129" i="29" s="1"/>
  <c r="L139" i="29"/>
  <c r="L149" i="29"/>
  <c r="I7" i="145"/>
  <c r="I6" i="145"/>
  <c r="D82" i="36"/>
  <c r="D78" i="36"/>
  <c r="K75" i="29"/>
  <c r="K130" i="29"/>
  <c r="B2805" i="106" s="1"/>
  <c r="D2805" i="106" s="1"/>
  <c r="K185" i="29"/>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B7090" i="106" s="1"/>
  <c r="D7090" i="106" s="1"/>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G26" i="108"/>
  <c r="E27" i="108"/>
  <c r="G27" i="108"/>
  <c r="F31" i="108"/>
  <c r="F36" i="108"/>
  <c r="G28" i="108"/>
  <c r="E30" i="108"/>
  <c r="G30" i="108"/>
  <c r="D36" i="108"/>
  <c r="E31" i="108"/>
  <c r="G31" i="108"/>
  <c r="E33" i="108"/>
  <c r="G33" i="108"/>
  <c r="E34"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B2633" i="106"/>
  <c r="D2633" i="106" s="1"/>
  <c r="D7" i="118"/>
  <c r="D8" i="118"/>
  <c r="D9" i="118"/>
  <c r="H14" i="118"/>
  <c r="H19" i="118"/>
  <c r="H24" i="118"/>
  <c r="H28" i="118"/>
  <c r="H29" i="118"/>
  <c r="H33" i="118"/>
  <c r="D22" i="37"/>
  <c r="J22" i="37"/>
  <c r="L5" i="11"/>
  <c r="B2056" i="106" s="1"/>
  <c r="D2056" i="106" s="1"/>
  <c r="L13" i="11" l="1"/>
  <c r="B2060" i="106" s="1"/>
  <c r="D2060" i="106" s="1"/>
  <c r="D24" i="37"/>
  <c r="B4270" i="106" s="1"/>
  <c r="D4270" i="106" s="1"/>
  <c r="K184" i="29"/>
  <c r="F13" i="4" s="1"/>
  <c r="B2596" i="106" s="1"/>
  <c r="D2596" i="106" s="1"/>
  <c r="G210" i="29"/>
  <c r="B1365" i="106" s="1"/>
  <c r="D1365" i="106" s="1"/>
  <c r="J41" i="3"/>
  <c r="B6216" i="106" s="1"/>
  <c r="D6216" i="106" s="1"/>
  <c r="B3647" i="106"/>
  <c r="D3647" i="106" s="1"/>
  <c r="J352" i="29"/>
  <c r="J367" i="29" s="1"/>
  <c r="B7245" i="106" s="1"/>
  <c r="H365" i="29"/>
  <c r="B7242" i="106" s="1"/>
  <c r="D7242" i="106" s="1"/>
  <c r="D9" i="7"/>
  <c r="B1767" i="106" s="1"/>
  <c r="D1767" i="106" s="1"/>
  <c r="B6289" i="106"/>
  <c r="D6289" i="106" s="1"/>
  <c r="H76" i="4"/>
  <c r="B3298" i="106" s="1"/>
  <c r="D3298" i="106" s="1"/>
  <c r="B1124" i="106"/>
  <c r="D1124" i="106" s="1"/>
  <c r="E26" i="108"/>
  <c r="F36" i="34"/>
  <c r="B6995" i="106"/>
  <c r="D6995" i="106" s="1"/>
  <c r="B1274" i="106"/>
  <c r="D1274" i="106" s="1"/>
  <c r="E38" i="108"/>
  <c r="F77" i="4"/>
  <c r="B3255" i="106" s="1"/>
  <c r="D3255" i="106" s="1"/>
  <c r="K76" i="4"/>
  <c r="B3586" i="106" s="1"/>
  <c r="D3586" i="106" s="1"/>
  <c r="I210" i="29"/>
  <c r="B7071" i="106" s="1"/>
  <c r="D7071" i="106" s="1"/>
  <c r="L367" i="29"/>
  <c r="C342" i="29"/>
  <c r="B7216" i="106" s="1"/>
  <c r="D7216" i="106" s="1"/>
  <c r="L342" i="29"/>
  <c r="G38" i="108"/>
  <c r="F28" i="108"/>
  <c r="D27" i="108"/>
  <c r="J210" i="29"/>
  <c r="B7072" i="106" s="1"/>
  <c r="D7072" i="106" s="1"/>
  <c r="G39" i="108"/>
  <c r="F70" i="34"/>
  <c r="G35" i="108"/>
  <c r="B7235" i="106"/>
  <c r="D7235" i="106" s="1"/>
  <c r="H342" i="29"/>
  <c r="G15" i="145"/>
  <c r="K28" i="118"/>
  <c r="O27" i="118" s="1"/>
  <c r="O29" i="118" s="1"/>
  <c r="N22" i="3"/>
  <c r="B283" i="106" s="1"/>
  <c r="D283" i="106" s="1"/>
  <c r="D54" i="36"/>
  <c r="D17" i="7"/>
  <c r="B4104" i="106" s="1"/>
  <c r="D4104" i="106" s="1"/>
  <c r="D11" i="37"/>
  <c r="F14" i="4"/>
  <c r="B2597" i="106" s="1"/>
  <c r="D2597" i="106" s="1"/>
  <c r="D37" i="108"/>
  <c r="F37" i="108"/>
  <c r="E28" i="108"/>
  <c r="D26" i="108"/>
  <c r="D31" i="36"/>
  <c r="J77" i="4"/>
  <c r="B6262" i="106" s="1"/>
  <c r="D6262" i="106" s="1"/>
  <c r="B4087" i="106"/>
  <c r="D4087" i="106" s="1"/>
  <c r="K41" i="3"/>
  <c r="L15" i="11"/>
  <c r="B3459" i="106" s="1"/>
  <c r="D3459" i="106" s="1"/>
  <c r="L22" i="37"/>
  <c r="F19" i="7"/>
  <c r="B1807" i="106" s="1"/>
  <c r="D1807" i="106" s="1"/>
  <c r="F65" i="34"/>
  <c r="G29" i="108"/>
  <c r="D7245" i="106"/>
  <c r="B7047" i="106"/>
  <c r="D7047" i="106" s="1"/>
  <c r="D6103" i="106"/>
  <c r="C352" i="29"/>
  <c r="B3621" i="106" s="1"/>
  <c r="D3621" i="106" s="1"/>
  <c r="B1308" i="106"/>
  <c r="D1308" i="106" s="1"/>
  <c r="E174" i="29"/>
  <c r="B1309" i="106" s="1"/>
  <c r="D1309" i="106" s="1"/>
  <c r="B1126" i="106"/>
  <c r="D1126" i="106" s="1"/>
  <c r="F49" i="34"/>
  <c r="E29" i="108"/>
  <c r="F26"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L16" i="11"/>
  <c r="B2061" i="106" s="1"/>
  <c r="D2061"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G170" i="5" l="1"/>
  <c r="B5778" i="106" s="1"/>
  <c r="D5778" i="106" s="1"/>
  <c r="H77" i="4"/>
  <c r="B3299" i="106" s="1"/>
  <c r="D3299" i="106" s="1"/>
  <c r="D44" i="36"/>
  <c r="D51" i="36"/>
  <c r="N23" i="3"/>
  <c r="B284" i="106" s="1"/>
  <c r="D284" i="106" s="1"/>
  <c r="L114" i="29"/>
  <c r="F41" i="108"/>
  <c r="G43" i="108" s="1"/>
  <c r="K77" i="4"/>
  <c r="B3587" i="106" s="1"/>
  <c r="D3587" i="106" s="1"/>
  <c r="K365" i="29"/>
  <c r="I7" i="4"/>
  <c r="B4444" i="106" s="1"/>
  <c r="D4444" i="106" s="1"/>
  <c r="B5527" i="106"/>
  <c r="D5527" i="106" s="1"/>
  <c r="K342" i="29"/>
  <c r="F13" i="34" s="1"/>
  <c r="D41" i="108"/>
  <c r="E43" i="108" s="1"/>
  <c r="B1328" i="106"/>
  <c r="D1328" i="106" s="1"/>
  <c r="C114" i="29"/>
  <c r="B757" i="106" s="1"/>
  <c r="D757" i="106" s="1"/>
  <c r="G6" i="4"/>
  <c r="B2604" i="106" s="1"/>
  <c r="D2604" i="106" s="1"/>
  <c r="D7253" i="106"/>
  <c r="F174" i="34"/>
  <c r="B3568" i="106"/>
  <c r="D3568" i="106" s="1"/>
  <c r="D52" i="36"/>
  <c r="B1996" i="106"/>
  <c r="D1996" i="106" s="1"/>
  <c r="I26" i="12"/>
  <c r="B7741" i="106" s="1"/>
  <c r="D7741" i="106" s="1"/>
  <c r="D7254" i="106"/>
  <c r="D7250" i="106"/>
  <c r="C367" i="29"/>
  <c r="B3622" i="106" s="1"/>
  <c r="D3622" i="106" s="1"/>
  <c r="B1317" i="106"/>
  <c r="D1317" i="106" s="1"/>
  <c r="D7255" i="106"/>
  <c r="D7252" i="10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8" i="4" l="1"/>
  <c r="F10" i="4" s="1"/>
  <c r="B4125" i="106" s="1"/>
  <c r="D4125"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<sst xmlns="http://schemas.openxmlformats.org/spreadsheetml/2006/main" count="5048" uniqueCount="2082">
  <si>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</si>
  <si>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</si>
  <si>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</si>
  <si>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</si>
  <si>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</si>
  <si>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</si>
  <si>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</si>
  <si>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</si>
  <si>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</si>
  <si>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</si>
  <si>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</si>
  <si>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</si>
  <si>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</si>
  <si>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</si>
  <si>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</si>
  <si>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</si>
  <si>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</si>
  <si>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</si>
  <si>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</si>
  <si>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</si>
  <si>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</si>
  <si>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</si>
  <si>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</si>
  <si>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</si>
  <si>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</si>
  <si>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</si>
  <si>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</si>
  <si>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</si>
  <si>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</si>
  <si>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</si>
  <si>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</si>
  <si>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</si>
  <si>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</si>
  <si>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</si>
  <si>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</si>
  <si>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</si>
  <si>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</si>
  <si>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</si>
  <si>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</si>
  <si>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</si>
  <si>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</si>
  <si>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</si>
  <si>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</si>
  <si>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</si>
  <si>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</si>
  <si>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</si>
  <si>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</si>
  <si>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</si>
  <si>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</si>
  <si>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</si>
  <si>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</si>
  <si>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</si>
  <si>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</si>
  <si>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</si>
  <si>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</si>
  <si>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</si>
  <si>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</si>
  <si>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</si>
  <si>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</si>
  <si>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</si>
  <si>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</si>
  <si>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</si>
  <si>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</si>
  <si>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</si>
  <si>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</si>
  <si>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</si>
  <si>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</si>
  <si>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</si>
  <si>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</si>
  <si>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</si>
  <si>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</si>
  <si>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</si>
  <si>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</si>
  <si>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</si>
  <si>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</si>
  <si>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</si>
  <si>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</si>
  <si>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</si>
  <si>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</si>
  <si>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</si>
  <si>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</si>
  <si>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</si>
  <si>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</si>
  <si>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</si>
  <si>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</si>
  <si>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</si>
  <si>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</si>
  <si>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</si>
  <si>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</si>
  <si>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</si>
  <si>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</si>
  <si>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</si>
  <si>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</si>
  <si>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</si>
  <si>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</si>
  <si>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</si>
  <si>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</si>
  <si>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</si>
  <si>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</si>
  <si>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</si>
  <si>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</si>
  <si>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</si>
  <si>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</si>
  <si>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</si>
  <si>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</si>
  <si>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</si>
  <si>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</si>
  <si>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</si>
  <si>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</si>
  <si>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</si>
  <si>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</si>
  <si>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</si>
  <si>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</si>
  <si>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</si>
  <si>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</si>
  <si>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</si>
  <si>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</si>
  <si>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</si>
  <si>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</si>
  <si>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</si>
  <si>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</si>
  <si>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</si>
  <si>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</si>
  <si>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</si>
  <si>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</si>
  <si>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</si>
  <si>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</si>
  <si>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</si>
  <si>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</si>
  <si>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</si>
  <si>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</si>
  <si>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</si>
  <si>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</si>
  <si>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</si>
  <si>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</si>
  <si>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</si>
  <si>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</si>
  <si>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</si>
  <si>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</si>
  <si>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</si>
  <si>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</si>
  <si>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</si>
  <si>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</si>
  <si>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</si>
  <si>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</si>
  <si>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</si>
  <si>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</si>
  <si>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</si>
  <si>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</si>
  <si>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</si>
  <si>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</si>
  <si>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</si>
  <si>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</si>
  <si>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</si>
  <si>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</si>
  <si>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</si>
  <si>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</si>
  <si>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</si>
  <si>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</si>
  <si>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</si>
  <si>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</si>
  <si>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</si>
  <si>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</si>
  <si>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</si>
  <si>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</si>
  <si>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</si>
  <si>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</si>
  <si>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</si>
  <si>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</si>
  <si>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</si>
  <si>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</si>
  <si>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</si>
  <si>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</si>
  <si>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</si>
  <si>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</si>
  <si>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</si>
  <si>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</si>
  <si>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</si>
  <si>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</si>
  <si>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</si>
  <si>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</si>
  <si>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</si>
  <si>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</si>
  <si>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</si>
  <si>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</si>
  <si>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</si>
  <si>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</si>
  <si>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</si>
  <si>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</si>
  <si>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</si>
  <si>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</si>
  <si>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</si>
  <si>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</si>
  <si>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</si>
  <si>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</si>
  <si>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</si>
  <si>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</si>
  <si>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</si>
  <si>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</si>
  <si>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</si>
  <si>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</si>
  <si>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</si>
  <si>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</si>
  <si>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</si>
  <si>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</si>
  <si>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</si>
  <si>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</si>
  <si>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</si>
  <si>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</si>
  <si>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</si>
  <si>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</si>
  <si>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</si>
  <si>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</si>
  <si>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</si>
  <si>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</si>
  <si>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</si>
  <si>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</si>
  <si>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</si>
  <si>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</si>
  <si>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</si>
  <si>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</si>
  <si>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</si>
  <si>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</si>
  <si>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</si>
  <si>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</si>
  <si>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</si>
  <si>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</si>
  <si>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</si>
  <si>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</si>
  <si>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</si>
  <si>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</si>
  <si>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</si>
  <si>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</si>
  <si>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</si>
  <si>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</si>
  <si>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</si>
  <si>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</si>
  <si>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</si>
  <si>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</si>
  <si>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</si>
  <si>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</si>
  <si>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</si>
  <si>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</si>
  <si>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</si>
  <si>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</si>
  <si>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</si>
  <si>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</si>
  <si>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</si>
  <si>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</si>
  <si>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</si>
  <si>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</si>
  <si>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</si>
  <si>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</si>
  <si>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</si>
  <si>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</si>
  <si>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</si>
  <si>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</si>
  <si>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</si>
  <si>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</si>
  <si>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</si>
  <si>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</si>
  <si>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</si>
  <si>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</si>
  <si>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</si>
  <si>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</si>
  <si>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</si>
  <si>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</si>
  <si>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</si>
  <si>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</si>
  <si>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</si>
  <si>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</si>
  <si>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</si>
  <si>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</si>
  <si>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</si>
  <si>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</si>
  <si>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</si>
  <si>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</si>
  <si>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</si>
  <si>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</si>
  <si>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</si>
  <si>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</si>
  <si>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</si>
  <si>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</si>
  <si>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</si>
  <si>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</si>
  <si>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</si>
  <si>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</si>
  <si>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</si>
  <si>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</si>
  <si>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</si>
  <si>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</si>
  <si>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</si>
  <si>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</si>
  <si>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</si>
  <si>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</si>
  <si>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</si>
  <si>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</si>
  <si>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</si>
  <si>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</si>
  <si>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</si>
  <si>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</si>
  <si>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</si>
  <si>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</si>
  <si>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</si>
  <si>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</si>
  <si>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</si>
  <si>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</si>
  <si>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</si>
  <si>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</si>
  <si>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</si>
  <si>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</si>
  <si>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</si>
  <si>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</si>
  <si>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</si>
  <si>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</si>
  <si>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</si>
  <si>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</si>
  <si>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</si>
  <si>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</si>
  <si>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</si>
  <si>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</si>
  <si>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</si>
  <si>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</si>
  <si>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</si>
  <si>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</si>
  <si>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</si>
  <si>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</si>
  <si>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</si>
  <si>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</si>
  <si>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</si>
  <si>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</si>
  <si>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</si>
  <si>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</si>
  <si>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</si>
  <si>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</si>
  <si>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</si>
  <si>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</si>
  <si>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</si>
  <si>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</si>
  <si>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</si>
  <si>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</si>
  <si>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</si>
  <si>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</si>
  <si>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</si>
  <si>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</si>
  <si>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</si>
  <si>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</si>
  <si>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</si>
  <si>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</si>
  <si>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</si>
  <si>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</si>
  <si>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</si>
  <si>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</si>
  <si>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</si>
  <si>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</si>
  <si>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</si>
  <si>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</si>
  <si>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</si>
  <si>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</si>
  <si>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</si>
  <si>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</si>
  <si>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</si>
  <si>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</si>
  <si>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</si>
  <si>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</si>
  <si>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</si>
  <si>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</si>
  <si>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</si>
  <si>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</si>
  <si>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</si>
  <si>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</si>
  <si>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</si>
  <si>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</si>
  <si>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</si>
  <si>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</si>
  <si>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</si>
  <si>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</si>
  <si>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</si>
  <si>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</si>
  <si>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</si>
  <si>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</si>
  <si>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</si>
  <si>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</si>
  <si>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</si>
  <si>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</si>
  <si>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</si>
  <si>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</si>
  <si>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</si>
  <si>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</si>
  <si>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</si>
  <si>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</si>
  <si>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</si>
  <si>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</si>
  <si>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</si>
  <si>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</si>
  <si>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</si>
  <si>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</si>
  <si>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</si>
  <si>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</si>
  <si>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</si>
  <si>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</si>
  <si>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</si>
  <si>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</si>
  <si>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</si>
  <si>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</si>
  <si>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</si>
  <si>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</si>
  <si>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</si>
  <si>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</si>
  <si>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</si>
  <si>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</si>
  <si>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</si>
  <si>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</si>
  <si>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</si>
  <si>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</si>
  <si>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</si>
  <si>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</si>
  <si>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</si>
  <si>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</si>
  <si>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</si>
  <si>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</si>
  <si>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</si>
  <si>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</si>
  <si>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</si>
  <si>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</si>
  <si>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</si>
  <si>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</si>
  <si>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</si>
  <si>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</si>
  <si>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</si>
  <si>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</si>
  <si>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</si>
  <si>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</si>
  <si>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</si>
  <si>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</si>
  <si>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</si>
  <si>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</si>
  <si>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</si>
  <si>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</si>
  <si>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</si>
  <si>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</si>
  <si>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</si>
  <si>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</si>
  <si>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</si>
  <si>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</si>
  <si>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</si>
  <si>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</si>
  <si>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</si>
  <si>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</si>
  <si>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</si>
  <si>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</si>
  <si>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</si>
  <si>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</si>
  <si>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</si>
  <si>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</si>
  <si>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</si>
  <si>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</si>
  <si>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</si>
  <si>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</si>
  <si>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</si>
  <si>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</si>
  <si>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</si>
  <si>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</si>
  <si>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</si>
  <si>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</si>
  <si>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</si>
  <si>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</si>
  <si>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</si>
  <si>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</si>
  <si>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</si>
  <si>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</si>
  <si>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</si>
  <si>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</si>
  <si>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</si>
  <si>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</si>
  <si>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</si>
  <si>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</si>
  <si>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</si>
  <si>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</si>
  <si>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</si>
  <si>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</si>
  <si>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</si>
  <si>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</si>
  <si>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</si>
  <si>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</si>
  <si>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</si>
  <si>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</si>
  <si>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</si>
  <si>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</si>
  <si>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</si>
  <si>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</si>
  <si>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</si>
  <si>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</si>
  <si>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</si>
  <si>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</si>
  <si>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</si>
  <si>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</si>
  <si>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</si>
  <si>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</si>
  <si>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</si>
  <si>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</si>
  <si>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</si>
  <si>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</si>
  <si>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</si>
  <si>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</si>
  <si>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</si>
  <si>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</si>
  <si>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</si>
  <si>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</si>
  <si>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</si>
  <si>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</si>
  <si>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</si>
  <si>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</si>
  <si>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</si>
  <si>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</si>
  <si>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</si>
  <si>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</si>
  <si>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</si>
  <si>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</si>
  <si>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</si>
  <si>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</si>
  <si>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</si>
  <si>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</si>
  <si>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</si>
  <si>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</si>
  <si>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</si>
  <si>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</si>
  <si>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</si>
  <si>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</si>
  <si>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</si>
  <si>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</si>
  <si>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</si>
  <si>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</si>
  <si>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</si>
  <si>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</si>
  <si>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</si>
  <si>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</si>
  <si>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</si>
  <si>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</si>
  <si>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</si>
  <si>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</si>
  <si>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</si>
  <si>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</si>
  <si>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</si>
  <si>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</si>
  <si>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</si>
  <si>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</si>
  <si>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</si>
  <si>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</si>
  <si>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</si>
  <si>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</si>
  <si>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</si>
  <si>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</si>
  <si>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</si>
  <si>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</si>
  <si>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</si>
  <si>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</si>
  <si>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</si>
  <si>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</si>
  <si>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</si>
  <si>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</si>
  <si>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</si>
  <si>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</si>
  <si>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</si>
  <si>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</si>
  <si>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</si>
  <si>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</si>
  <si>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</si>
  <si>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</si>
  <si>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</si>
  <si>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</si>
  <si>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</si>
  <si>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</si>
  <si>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</si>
  <si>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</si>
  <si>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</si>
  <si>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</si>
  <si>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</si>
  <si>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</si>
  <si>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</si>
  <si>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</si>
  <si>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</si>
  <si>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</si>
  <si>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</si>
  <si>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</si>
  <si>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</si>
  <si>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</si>
  <si>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</si>
  <si>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</si>
  <si>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</si>
  <si>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</si>
  <si>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</si>
  <si>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</si>
  <si>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</si>
  <si>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</si>
  <si>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</si>
  <si>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</si>
  <si>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</si>
  <si>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</si>
  <si>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</si>
  <si>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</si>
  <si>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</si>
  <si>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</si>
  <si>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</si>
  <si>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</si>
  <si>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</si>
  <si>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</si>
  <si>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</si>
  <si>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</si>
  <si>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</si>
  <si>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</si>
  <si>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</si>
  <si>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</si>
  <si>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</si>
  <si>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</si>
  <si>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</si>
  <si>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</si>
  <si>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</si>
  <si>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</si>
  <si>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</si>
  <si>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</si>
  <si>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</si>
  <si>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</si>
  <si>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</si>
  <si>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</si>
  <si>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</si>
  <si>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</si>
  <si>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</si>
  <si>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</si>
  <si>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</si>
  <si>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</si>
  <si>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</si>
  <si>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</si>
  <si>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</si>
  <si>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</si>
  <si>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</si>
  <si>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</si>
  <si>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</si>
  <si>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</si>
  <si>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</si>
  <si>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</si>
  <si>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</si>
  <si>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</si>
  <si>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</si>
  <si>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</si>
  <si>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</si>
  <si>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</si>
  <si>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</si>
  <si>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</si>
  <si>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</si>
  <si>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</si>
  <si>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</si>
  <si>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</si>
  <si>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</si>
  <si>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</si>
  <si>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</si>
  <si>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</si>
  <si>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</si>
  <si>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</si>
  <si>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</si>
  <si>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</si>
  <si>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</si>
  <si>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</si>
  <si>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</si>
  <si>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</si>
  <si>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</si>
  <si>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</si>
  <si>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</si>
  <si>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</si>
  <si>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</si>
  <si>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</si>
  <si>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</si>
  <si>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</si>
  <si>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</si>
  <si>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</si>
  <si>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</si>
  <si>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</si>
  <si>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</si>
  <si>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</si>
  <si>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</si>
  <si>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</si>
  <si>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</si>
  <si>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</si>
  <si>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</si>
  <si>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</si>
  <si>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</si>
  <si>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</si>
  <si>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</si>
  <si>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</si>
  <si>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</si>
  <si>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</si>
  <si>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</si>
  <si>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</si>
  <si>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</si>
  <si>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</si>
  <si>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</si>
  <si>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</si>
  <si>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</si>
  <si>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</si>
  <si>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</si>
  <si>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</si>
  <si>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</si>
  <si>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</si>
  <si>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</si>
  <si>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</si>
  <si>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</si>
  <si>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</si>
  <si>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</si>
  <si>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</si>
  <si>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</si>
  <si>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</si>
  <si>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</si>
  <si>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</si>
  <si>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</si>
  <si>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</si>
  <si>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</si>
  <si>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</si>
  <si>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</si>
  <si>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</si>
  <si>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</si>
  <si>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</si>
  <si>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</si>
  <si>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</si>
  <si>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</si>
  <si>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</si>
  <si>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</si>
  <si>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</si>
  <si>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</si>
  <si>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</si>
  <si>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</si>
  <si>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</si>
  <si>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</si>
  <si>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</si>
  <si>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</si>
  <si>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</si>
  <si>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</si>
  <si>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</si>
  <si>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</si>
  <si>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</si>
  <si>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</si>
  <si>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</si>
  <si>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</si>
  <si>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</si>
  <si>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</si>
  <si>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</si>
  <si>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</si>
  <si>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</si>
  <si>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</si>
  <si>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</si>
  <si>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</si>
  <si>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</si>
  <si>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</si>
  <si>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</si>
  <si>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</si>
  <si>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</si>
  <si>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</si>
  <si>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</si>
  <si>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</si>
  <si>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</si>
  <si>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</si>
  <si>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</si>
  <si>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</si>
  <si>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</si>
  <si>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</si>
  <si>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</si>
  <si>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</si>
  <si>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</si>
  <si>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</si>
  <si>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</si>
  <si>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</si>
  <si>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</si>
  <si>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</si>
  <si>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</si>
  <si>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</si>
  <si>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</si>
  <si>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</si>
  <si>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</si>
  <si>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</si>
  <si>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</si>
  <si>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</si>
  <si>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</si>
  <si>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</si>
  <si>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</si>
  <si>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</si>
  <si>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</si>
  <si>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</si>
  <si>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</si>
  <si>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</si>
  <si>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</si>
  <si>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</si>
  <si>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</si>
  <si>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</si>
  <si>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</si>
  <si>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</si>
  <si>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</si>
  <si>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</si>
  <si>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</si>
  <si>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</si>
  <si>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</si>
  <si>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</si>
  <si>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</si>
  <si>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</si>
  <si>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</si>
  <si>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</si>
  <si>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</si>
  <si>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</si>
  <si>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</si>
  <si>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</si>
  <si>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</si>
  <si>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</si>
  <si>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</si>
  <si>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</si>
  <si>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</si>
  <si>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</si>
  <si>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</si>
  <si>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</si>
  <si>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</si>
  <si>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</si>
  <si>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</si>
  <si>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</si>
  <si>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</si>
  <si>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</si>
  <si>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</si>
  <si>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</si>
  <si>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</si>
  <si>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</si>
  <si>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</si>
  <si>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</si>
  <si>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</si>
  <si>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</si>
  <si>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</si>
  <si>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</si>
  <si>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</si>
  <si>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</si>
  <si>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</si>
  <si>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</si>
  <si>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</si>
  <si>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</si>
  <si>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</si>
  <si>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</si>
  <si>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</si>
  <si>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</si>
  <si>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</si>
  <si>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</si>
  <si>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</si>
  <si>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</si>
  <si>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</si>
  <si>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</si>
  <si>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</si>
  <si>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</si>
  <si>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</si>
  <si>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</si>
  <si>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</si>
  <si>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</si>
  <si>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</si>
  <si>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</si>
  <si>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</si>
  <si>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</si>
  <si>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</si>
  <si>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</si>
  <si>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</si>
  <si>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</si>
  <si>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</si>
  <si>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</si>
  <si>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</si>
  <si>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</si>
  <si>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</si>
  <si>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</si>
  <si>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</si>
  <si>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</si>
  <si>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</si>
  <si>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</si>
  <si>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</si>
  <si>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</si>
  <si>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</si>
  <si>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</si>
  <si>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</si>
  <si>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</si>
  <si>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</si>
  <si>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</si>
  <si>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</si>
  <si>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</si>
  <si>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</si>
  <si>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</si>
  <si>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</si>
  <si>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</si>
  <si>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</si>
  <si>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</si>
  <si>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</si>
  <si>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</si>
  <si>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</si>
  <si>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</si>
  <si>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</si>
  <si>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</si>
  <si>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</si>
  <si>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</si>
  <si>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</si>
  <si>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</si>
  <si>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</si>
  <si>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</si>
  <si>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</si>
  <si>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</si>
  <si>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</si>
  <si>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</si>
  <si>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</si>
  <si>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</si>
  <si>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</si>
  <si>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</si>
  <si>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</si>
  <si>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</si>
  <si>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</si>
  <si>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</si>
  <si>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</si>
  <si>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</si>
  <si>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</si>
  <si>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</si>
  <si>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</si>
  <si>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</si>
  <si>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</si>
  <si>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</si>
  <si>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</si>
  <si>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</si>
  <si>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</si>
  <si>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</si>
  <si>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</si>
  <si>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</si>
  <si>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</si>
  <si>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</si>
  <si>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</si>
  <si>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</si>
  <si>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</si>
  <si>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</si>
  <si>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</si>
  <si>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</si>
  <si>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</si>
  <si>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</si>
  <si>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</si>
  <si>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</si>
  <si>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</si>
  <si>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</si>
  <si>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</si>
  <si>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</si>
  <si>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</si>
  <si>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</si>
  <si>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</si>
  <si>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</si>
  <si>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</si>
  <si>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</si>
  <si>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</si>
  <si>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</si>
  <si>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</si>
  <si>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</si>
  <si>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</si>
  <si>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</si>
  <si>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</si>
  <si>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</si>
  <si>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</si>
  <si>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</si>
  <si>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</si>
  <si>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</si>
  <si>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</si>
  <si>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</si>
  <si>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</si>
  <si>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</si>
  <si>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</si>
  <si>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</si>
  <si>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</si>
  <si>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</si>
  <si>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</si>
  <si>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</si>
  <si>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</si>
  <si>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</si>
  <si>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</si>
  <si>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</si>
  <si>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</si>
  <si>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</si>
  <si>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</si>
  <si>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</si>
  <si>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</si>
  <si>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</si>
  <si>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</si>
  <si>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</si>
  <si>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</si>
  <si>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</si>
  <si>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</si>
  <si>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</si>
  <si>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</si>
  <si>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</si>
  <si>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</si>
  <si>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</si>
  <si>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</si>
  <si>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</si>
  <si>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</si>
  <si>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</si>
  <si>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</si>
  <si>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</si>
  <si>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</si>
  <si>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</si>
  <si>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</si>
  <si>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</si>
  <si>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</si>
  <si>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</si>
  <si>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</si>
  <si>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</si>
  <si>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</si>
  <si>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</si>
  <si>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</si>
  <si>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</si>
  <si>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</si>
  <si>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</si>
  <si>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</si>
  <si>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</si>
  <si>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</si>
  <si>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</si>
  <si>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</si>
  <si>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</si>
  <si>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</si>
  <si>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</si>
  <si>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</si>
  <si>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</si>
  <si>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</si>
  <si>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</si>
  <si>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</si>
  <si>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</si>
  <si>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</si>
  <si>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</si>
  <si>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</si>
  <si>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</si>
  <si>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</si>
  <si>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</si>
  <si>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</si>
  <si>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</si>
  <si>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</si>
  <si>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</si>
  <si>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</si>
  <si>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</si>
  <si>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</si>
  <si>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</si>
  <si>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</si>
  <si>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</si>
  <si>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</si>
  <si>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</si>
  <si>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</si>
  <si>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</si>
  <si>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</si>
  <si>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</si>
  <si>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</si>
  <si>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</si>
  <si>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</si>
  <si>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</si>
  <si>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</si>
  <si>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</si>
  <si>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</si>
  <si>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</si>
  <si>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</si>
  <si>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</si>
  <si>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</si>
  <si>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</si>
  <si>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</si>
  <si>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</si>
  <si>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</si>
  <si>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</si>
  <si>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</si>
  <si>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</si>
  <si>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</si>
  <si>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</si>
  <si>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</si>
  <si>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</si>
  <si>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</si>
  <si>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</si>
  <si>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</si>
  <si>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</si>
  <si>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</si>
  <si>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</si>
  <si>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</si>
  <si>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</si>
  <si>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</si>
  <si>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</si>
  <si>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</si>
  <si>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</si>
  <si>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</si>
  <si>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</si>
  <si>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</si>
  <si>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</si>
  <si>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</si>
  <si>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</si>
  <si>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</si>
  <si>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</si>
  <si>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</si>
  <si>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</si>
  <si>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</si>
  <si>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</si>
  <si>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</si>
  <si>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</si>
  <si>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</si>
  <si>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</si>
  <si>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</si>
  <si>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</si>
  <si>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</si>
  <si>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</si>
  <si>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</si>
  <si>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</si>
  <si>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</si>
  <si>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</si>
  <si>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</si>
  <si>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</si>
  <si>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</si>
  <si>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</si>
  <si>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</si>
  <si>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</si>
  <si>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</si>
  <si>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</si>
  <si>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</si>
  <si>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</si>
  <si>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</si>
  <si>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</si>
  <si>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</si>
  <si>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</si>
  <si>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</si>
  <si>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</si>
  <si>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</si>
  <si>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</si>
  <si>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</si>
  <si>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</si>
  <si>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</si>
  <si>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</si>
  <si>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</si>
  <si>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</si>
  <si>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</si>
  <si>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</si>
  <si>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</si>
  <si>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</si>
  <si>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</si>
  <si>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</si>
  <si>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</si>
  <si>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</si>
  <si>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</si>
  <si>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</si>
  <si>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</si>
  <si>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</si>
  <si>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</si>
  <si>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</si>
  <si>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</si>
  <si>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</si>
  <si>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</si>
  <si>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</si>
  <si>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</si>
  <si>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</si>
  <si>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</si>
  <si>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</si>
  <si>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</si>
  <si>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</si>
  <si>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</si>
  <si>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</si>
  <si>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</si>
  <si>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</si>
  <si>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</si>
  <si>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</si>
  <si>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</si>
  <si>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</si>
  <si>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</si>
  <si>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</si>
  <si>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</si>
  <si>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</si>
  <si>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</si>
  <si>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</si>
  <si>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</si>
  <si>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</si>
  <si>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</si>
  <si>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</si>
  <si>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</si>
  <si>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</si>
  <si>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</si>
  <si>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</si>
  <si>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</si>
  <si>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</si>
  <si>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</si>
  <si>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</si>
  <si>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</si>
  <si>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</si>
  <si>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</si>
  <si>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</si>
  <si>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</si>
  <si>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</si>
  <si>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</si>
  <si>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</si>
  <si>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</si>
  <si>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</si>
  <si>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</si>
  <si>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</si>
  <si>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</si>
  <si>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</si>
  <si>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</si>
  <si>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</si>
  <si>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</si>
  <si>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</si>
  <si>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</si>
  <si>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</si>
  <si>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</si>
  <si>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</si>
  <si>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</si>
  <si>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</si>
  <si>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</si>
  <si>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</si>
  <si>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</si>
  <si>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</si>
  <si>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</si>
  <si>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</si>
  <si>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</si>
  <si>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</si>
  <si>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</si>
  <si>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</si>
  <si>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</si>
  <si>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</si>
  <si>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</si>
  <si>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</si>
  <si>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</si>
  <si>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</si>
  <si>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</si>
  <si>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</si>
  <si>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</si>
  <si>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</si>
  <si>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</si>
  <si>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</si>
  <si>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</si>
  <si>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</si>
  <si>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</si>
  <si>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</si>
  <si>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</si>
  <si>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</si>
  <si>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</si>
  <si>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</si>
  <si>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</si>
  <si>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</si>
  <si>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</si>
  <si>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</si>
  <si>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</si>
  <si>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</si>
  <si>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</si>
  <si>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</si>
  <si>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</si>
  <si>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</si>
  <si>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</si>
  <si>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</si>
  <si>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</si>
  <si>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</si>
  <si>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</si>
  <si>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</si>
  <si>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</si>
  <si>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</si>
  <si>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</si>
  <si>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</si>
  <si>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</si>
  <si>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</si>
  <si>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</si>
  <si>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</si>
  <si>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</si>
  <si>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</si>
  <si>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</si>
  <si>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</si>
  <si>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</si>
  <si>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</si>
  <si>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</si>
  <si>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</si>
  <si>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</si>
  <si>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</si>
  <si>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</si>
  <si>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</si>
  <si>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</si>
  <si>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</si>
  <si>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</si>
  <si>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</si>
  <si>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</si>
  <si>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</si>
  <si>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</si>
  <si>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</si>
  <si>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</si>
  <si>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</si>
  <si>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</si>
  <si>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</si>
  <si>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</si>
  <si>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</si>
  <si>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</si>
  <si>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</si>
  <si>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</si>
  <si>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</si>
  <si>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</si>
  <si>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</si>
  <si>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</si>
  <si>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</si>
  <si>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</si>
  <si>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</si>
  <si>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</si>
  <si>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</si>
  <si>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</si>
  <si>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</si>
  <si>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</si>
  <si>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</si>
  <si>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</si>
  <si>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</si>
  <si>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</si>
  <si>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</si>
  <si>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</si>
  <si>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</si>
  <si>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</si>
  <si>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</si>
  <si>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</si>
  <si>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</si>
  <si>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</si>
  <si>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</si>
  <si>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</si>
  <si>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</si>
  <si>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</si>
  <si>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</si>
  <si>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</si>
  <si>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</si>
  <si>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</si>
  <si>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</si>
  <si>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</si>
  <si>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</si>
  <si>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</si>
  <si>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</si>
  <si>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</si>
  <si>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</si>
  <si>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</si>
  <si>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</si>
  <si>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</si>
  <si>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</si>
  <si>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</si>
  <si>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</si>
  <si>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</si>
  <si>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</si>
  <si>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</si>
  <si>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</si>
  <si>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</si>
  <si>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</si>
  <si>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</si>
  <si>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</si>
  <si>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</si>
  <si>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</si>
  <si>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</si>
  <si>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</si>
  <si>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</si>
  <si>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</si>
  <si>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</si>
  <si>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</si>
  <si>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</si>
  <si>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</si>
  <si>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</si>
  <si>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</si>
  <si>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</si>
  <si>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</si>
  <si>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</si>
  <si>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</si>
  <si>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</si>
  <si>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</si>
  <si>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</si>
  <si>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</si>
  <si>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</si>
  <si>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</si>
  <si>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</si>
  <si>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</si>
  <si>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</si>
  <si>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</si>
  <si>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</si>
  <si>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</si>
  <si>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</si>
  <si>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</si>
  <si>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</si>
  <si>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</si>
  <si>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</si>
  <si>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</si>
  <si>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</si>
  <si>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</si>
  <si>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</si>
  <si>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</si>
  <si>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</si>
  <si>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</si>
  <si>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</si>
  <si>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</si>
  <si>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</si>
  <si>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</si>
  <si>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</si>
  <si>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</si>
  <si>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</si>
  <si>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</si>
  <si>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</si>
  <si>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</si>
  <si>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</si>
  <si>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</si>
  <si>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</si>
  <si>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</si>
  <si>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</si>
  <si>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</si>
  <si>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</si>
  <si>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</si>
  <si>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</si>
  <si>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</si>
  <si>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</si>
  <si>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</si>
  <si>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</si>
  <si>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</si>
  <si>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</si>
  <si>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</si>
  <si>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</si>
  <si>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</si>
  <si>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</si>
  <si>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</si>
  <si>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</si>
  <si>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</si>
  <si>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</si>
  <si>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</si>
  <si>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</si>
  <si>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</si>
  <si>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</si>
  <si>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</si>
  <si>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</si>
  <si>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</si>
  <si>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</si>
  <si>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</si>
  <si>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</si>
  <si>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</si>
  <si>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</si>
  <si>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</si>
  <si>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</si>
  <si>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</si>
  <si>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</si>
  <si>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</si>
  <si>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</si>
  <si>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</si>
  <si>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</si>
  <si>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</si>
  <si>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</si>
  <si>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</si>
  <si>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</si>
  <si>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</si>
  <si>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</si>
  <si>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</si>
  <si>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</si>
  <si>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</si>
  <si>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</si>
  <si>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</si>
  <si>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</si>
  <si>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</si>
  <si>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</si>
  <si>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</si>
  <si>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</si>
  <si>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</si>
  <si>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</si>
  <si>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</si>
  <si>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</si>
  <si>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</si>
  <si>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</si>
  <si>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</si>
  <si>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</si>
  <si>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</si>
  <si>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</si>
  <si>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</si>
  <si>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</si>
  <si>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</si>
  <si>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</si>
  <si>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</si>
  <si>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</si>
  <si>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</si>
  <si>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</si>
  <si>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</si>
  <si>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</si>
  <si>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</si>
  <si>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</si>
  <si>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</si>
  <si>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</si>
  <si>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</si>
  <si>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</si>
  <si>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</si>
  <si>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</si>
  <si>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</si>
  <si>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</si>
  <si>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</si>
  <si>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</si>
  <si>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</si>
  <si>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</si>
  <si>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</si>
  <si>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</si>
  <si>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</si>
  <si>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</si>
  <si>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</si>
  <si>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</si>
  <si>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</si>
  <si>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</si>
  <si>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</si>
  <si>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</si>
  <si>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</si>
  <si>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</si>
  <si>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</si>
  <si>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</si>
  <si>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</si>
  <si>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</si>
  <si>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</si>
  <si>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</si>
  <si>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</si>
  <si>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</si>
  <si>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</si>
  <si>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</si>
  <si>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</si>
  <si>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</si>
  <si>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</si>
  <si>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</si>
  <si>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</si>
  <si>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</si>
  <si>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</si>
  <si>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</si>
  <si>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</si>
  <si>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</si>
  <si>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</si>
  <si>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</si>
  <si>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</si>
  <si>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</si>
  <si>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</si>
  <si>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</si>
  <si>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</si>
  <si>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</si>
  <si>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</si>
  <si>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</si>
  <si>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</si>
  <si>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</si>
  <si>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</si>
  <si>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</si>
  <si>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</si>
  <si>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</si>
  <si>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</si>
  <si>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</si>
  <si>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</si>
  <si>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</si>
  <si>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</si>
  <si>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</si>
  <si>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</si>
  <si>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</si>
  <si>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</si>
  <si>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</si>
  <si>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</si>
  <si>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</si>
  <si>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</si>
  <si>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</si>
  <si>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</si>
  <si>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</si>
  <si>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</si>
  <si>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</si>
  <si>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</si>
  <si>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</si>
  <si>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</si>
  <si>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</si>
  <si>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</si>
  <si>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</si>
  <si>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</si>
  <si>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</si>
  <si>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</si>
  <si>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</si>
  <si>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</si>
  <si>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</si>
  <si>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</si>
  <si>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</si>
  <si>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</si>
  <si>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</si>
  <si>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</si>
  <si>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</si>
  <si>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</si>
  <si>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</si>
  <si>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</si>
  <si>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</si>
  <si>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</si>
  <si>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</si>
  <si>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</si>
  <si>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</si>
  <si>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</si>
  <si>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</si>
  <si>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</si>
  <si>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</si>
  <si>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</si>
  <si>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</si>
  <si>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</si>
  <si>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</si>
  <si>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</si>
  <si>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</si>
  <si>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</si>
  <si>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</si>
  <si>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</si>
  <si>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</si>
  <si>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</si>
  <si>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</si>
  <si>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</si>
  <si>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</si>
  <si>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</si>
  <si>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</si>
  <si>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</si>
  <si>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</si>
  <si>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</si>
  <si>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</si>
  <si>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</si>
  <si>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</si>
  <si>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</si>
  <si>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</si>
  <si>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</si>
  <si>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</si>
  <si>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</si>
  <si>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</si>
  <si>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</si>
  <si>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</si>
  <si>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</si>
  <si>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</si>
  <si>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</si>
  <si>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</si>
  <si>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</si>
  <si>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</si>
  <si>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</si>
  <si>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</si>
  <si>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</si>
  <si>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</si>
  <si>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</si>
  <si>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</si>
  <si>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</si>
  <si>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</si>
  <si>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</si>
  <si>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</si>
  <si>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</si>
  <si>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</si>
  <si>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</si>
  <si>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</si>
  <si>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</si>
  <si>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</si>
  <si>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</si>
  <si>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</si>
  <si>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</si>
  <si>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</si>
  <si>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</si>
  <si>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</si>
  <si>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</si>
  <si>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</si>
  <si>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</si>
  <si>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</si>
  <si>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</si>
  <si>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</si>
  <si>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</si>
  <si>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</si>
  <si>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</si>
  <si>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</si>
  <si>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</si>
  <si>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</si>
  <si>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</si>
  <si>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</si>
  <si>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</si>
  <si>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</si>
  <si>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</si>
  <si>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</si>
  <si>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</si>
  <si>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</si>
  <si>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</si>
  <si>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</si>
  <si>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</si>
  <si>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</si>
  <si>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</si>
  <si>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</si>
  <si>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</si>
  <si>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</si>
  <si>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</si>
  <si>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</si>
  <si>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</si>
  <si>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</si>
  <si>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</si>
  <si>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</si>
  <si>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</si>
  <si>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</si>
  <si>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</si>
  <si>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</si>
  <si>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</si>
  <si>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</si>
  <si>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</si>
  <si>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</si>
  <si>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</si>
  <si>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</si>
  <si>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</si>
  <si>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</si>
  <si>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</si>
  <si>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</si>
  <si>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</si>
  <si>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</si>
  <si>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</si>
  <si>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</si>
  <si>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</si>
  <si>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</si>
  <si>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</si>
  <si>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</si>
  <si>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</si>
  <si>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</si>
  <si>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</si>
  <si>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</si>
  <si>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</si>
  <si>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</si>
  <si>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</si>
  <si>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</si>
  <si>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</si>
  <si>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</si>
  <si>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</si>
  <si>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</si>
  <si>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</si>
  <si>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</si>
  <si>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</si>
  <si>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</si>
  <si>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</si>
  <si>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</si>
  <si>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</si>
  <si>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</si>
  <si>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</si>
  <si>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</si>
  <si>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</si>
  <si>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</si>
  <si>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</si>
  <si>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</si>
  <si>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</si>
  <si>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</si>
  <si>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</si>
  <si>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</si>
  <si>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</si>
  <si>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</si>
  <si>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</si>
  <si>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</si>
  <si>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</si>
  <si>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</si>
  <si>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</si>
  <si>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</si>
  <si>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</si>
  <si>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</si>
  <si>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</si>
  <si>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</si>
  <si>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</si>
  <si>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</si>
  <si>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</si>
  <si>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</si>
  <si>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</si>
  <si>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</si>
  <si>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</si>
  <si>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</si>
  <si>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</si>
  <si>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</si>
  <si>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</si>
  <si>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</si>
  <si>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</si>
  <si>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</si>
  <si>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</si>
  <si>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</si>
  <si>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</si>
  <si>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</si>
  <si>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</si>
  <si>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</si>
  <si>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</si>
  <si>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</si>
  <si>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</si>
  <si>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</si>
  <si>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</si>
  <si>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</si>
  <si>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</si>
  <si>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</si>
  <si>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</si>
  <si>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</si>
  <si>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</si>
  <si>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</si>
  <si>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</si>
  <si>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</si>
  <si>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</si>
  <si>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</si>
  <si>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</si>
  <si>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</si>
  <si>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</si>
  <si>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</si>
  <si>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</si>
  <si>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</si>
  <si>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</si>
  <si>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</si>
  <si>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</si>
  <si>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</si>
  <si>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</si>
  <si>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</si>
  <si>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</si>
  <si>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</si>
  <si>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</si>
  <si>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</si>
  <si>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</si>
  <si>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</si>
  <si>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</si>
  <si>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</si>
  <si>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</si>
  <si>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</si>
  <si>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</si>
  <si>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</si>
  <si>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</si>
  <si>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</si>
  <si>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</si>
  <si>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</si>
  <si>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</si>
  <si>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</si>
  <si>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</si>
  <si>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</si>
  <si>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</si>
  <si>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</si>
  <si>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</si>
  <si>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</si>
  <si>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</si>
  <si>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</si>
  <si>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</si>
  <si>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</si>
  <si>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</si>
  <si>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</si>
  <si>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</si>
  <si>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</si>
  <si>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</si>
  <si>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</si>
  <si>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</si>
  <si>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</si>
  <si>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</si>
  <si>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</si>
  <si>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</si>
  <si>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</si>
  <si>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</si>
  <si>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</si>
  <si>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</si>
  <si>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</si>
  <si>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</si>
  <si>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</si>
  <si>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</si>
  <si>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</si>
  <si>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</si>
  <si>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</si>
  <si>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</si>
  <si>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</si>
  <si>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</si>
  <si>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</si>
  <si>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</si>
  <si>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</si>
  <si>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</si>
  <si>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</si>
  <si>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</si>
  <si>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</si>
  <si>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</si>
  <si>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</si>
  <si>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</si>
  <si>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</si>
  <si>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</si>
  <si>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</si>
  <si>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</si>
  <si>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</si>
  <si>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</si>
  <si>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</si>
  <si>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</si>
  <si>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</si>
  <si>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</si>
  <si>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</si>
  <si>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</si>
  <si>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</si>
  <si>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</si>
  <si>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</si>
  <si>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</si>
  <si>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</si>
  <si>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</si>
  <si>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</si>
  <si>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</si>
  <si>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</si>
  <si>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</si>
  <si>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</si>
  <si>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</si>
  <si>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</si>
  <si>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</si>
  <si>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</si>
  <si>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</si>
  <si>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</si>
  <si>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</si>
  <si>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</si>
  <si>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</si>
  <si>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</si>
  <si>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</si>
  <si>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</si>
  <si>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</si>
  <si>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</si>
  <si>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</si>
  <si>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</si>
  <si>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</si>
  <si>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</si>
  <si>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</si>
  <si>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</si>
  <si>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</si>
  <si>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</si>
  <si>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</si>
  <si>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</si>
  <si>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</si>
  <si>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</si>
  <si>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</si>
  <si>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</si>
  <si>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</si>
  <si>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</si>
  <si>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</si>
  <si>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</si>
  <si>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</si>
  <si>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</si>
  <si>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</si>
  <si>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</si>
  <si>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</si>
  <si>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</si>
  <si>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</si>
  <si>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</si>
  <si>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</si>
  <si>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</si>
  <si>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</si>
  <si>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</si>
  <si>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</si>
  <si>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</si>
  <si>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</si>
  <si>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</si>
  <si>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</si>
  <si>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</si>
  <si>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</si>
  <si>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</si>
  <si>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</si>
  <si>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</si>
  <si>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</si>
  <si>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</si>
  <si>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</si>
  <si>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</si>
  <si>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</si>
  <si>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</si>
  <si>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</si>
  <si>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</si>
  <si>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</si>
  <si>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</si>
  <si>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</si>
  <si>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</si>
  <si>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</si>
  <si>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</si>
  <si>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</si>
  <si>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</si>
  <si>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</si>
  <si>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</si>
  <si>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</si>
  <si>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</si>
  <si>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</si>
  <si>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</si>
  <si>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</si>
  <si>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</si>
  <si>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</si>
  <si>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</si>
  <si>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</si>
  <si>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</si>
  <si>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</si>
  <si>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</si>
  <si>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</si>
  <si>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</si>
  <si>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</si>
  <si>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</si>
  <si>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</si>
  <si>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</si>
  <si>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</si>
  <si>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</si>
  <si>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</si>
  <si>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</si>
  <si>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</si>
  <si>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</si>
  <si>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</si>
  <si>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</si>
  <si>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</si>
  <si>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</si>
  <si>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</si>
  <si>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</si>
  <si>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</si>
  <si>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</si>
  <si>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</si>
  <si>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</si>
  <si>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</si>
  <si>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</si>
  <si>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</si>
  <si>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</si>
  <si>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</si>
  <si>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</si>
  <si>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</si>
  <si>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</si>
  <si>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</si>
  <si>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</si>
  <si>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</si>
  <si>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</si>
  <si>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</si>
  <si>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</si>
  <si>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</si>
  <si>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</si>
  <si>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</si>
  <si>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</si>
  <si>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</si>
  <si>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</si>
  <si>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</si>
  <si>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</si>
  <si>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</si>
  <si>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</si>
  <si>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</si>
  <si>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</si>
  <si>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</si>
  <si>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</si>
  <si>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</si>
  <si>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</si>
  <si>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</si>
  <si>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</si>
  <si>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</si>
  <si>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</si>
  <si>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</si>
  <si>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</si>
  <si>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</si>
  <si>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</si>
  <si>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</si>
  <si>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</si>
  <si>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</si>
  <si>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</si>
  <si>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</si>
  <si>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</si>
  <si>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</si>
  <si>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</si>
  <si>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</si>
  <si>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</si>
  <si>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</si>
  <si>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</si>
  <si>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</si>
  <si>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</si>
  <si>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</si>
  <si>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</si>
  <si>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</si>
  <si>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</si>
  <si>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</si>
  <si>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</si>
  <si>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</si>
  <si>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</si>
  <si>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</si>
  <si>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</si>
  <si>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</si>
  <si>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</si>
  <si>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</si>
  <si>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</si>
  <si>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</si>
  <si>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</si>
  <si>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</si>
  <si>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</si>
  <si>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</si>
  <si>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</si>
  <si>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</si>
  <si>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</si>
  <si>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</si>
  <si>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</si>
  <si>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</si>
  <si>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</si>
  <si>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</si>
  <si>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</si>
  <si>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</si>
  <si>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</si>
  <si>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</si>
  <si>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</si>
  <si>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</si>
  <si>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</si>
  <si>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</si>
  <si>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</si>
  <si>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</si>
  <si>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</si>
  <si>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</si>
  <si>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</si>
  <si>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KENDALL</t>
  </si>
  <si>
    <t>800 SOUTH HALE STREET</t>
  </si>
  <si>
    <t>PLANO</t>
  </si>
  <si>
    <t>TONY BAKER</t>
  </si>
  <si>
    <t>tbaker@plano88.org</t>
  </si>
  <si>
    <t xml:space="preserve">630-522-8978  
</t>
  </si>
  <si>
    <t xml:space="preserve">630-522-8548    
</t>
  </si>
  <si>
    <t>alee@pasec.net</t>
  </si>
  <si>
    <t>Lauterbach &amp; Amen</t>
  </si>
  <si>
    <t>Don Shaw</t>
  </si>
  <si>
    <t>668 N. River Rd</t>
  </si>
  <si>
    <t>Naperville</t>
  </si>
  <si>
    <t>IL</t>
  </si>
  <si>
    <t>065-037815</t>
  </si>
  <si>
    <t>dshaw@lauterbachamen.com</t>
  </si>
  <si>
    <t>Yorkville CUSD #115, Oswego CUSD #308</t>
  </si>
  <si>
    <t>Plano Area Special 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</si>
</sst>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wrapText="1"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wrapText="1"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xdr:row>
          <xdr:rowOff>0</xdr:rowOff>
        </xdr:from>
        <xdr:to>
          <xdr:col>1</xdr:col>
          <xdr:colOff>1847850</xdr:colOff>
          <xdr:row>5</xdr:row>
          <xdr:rowOff>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0" t="s">
        <v>405</v>
      </c>
      <c r="J1" s="1981"/>
      <c r="K1" s="1981"/>
      <c r="L1" s="1981"/>
      <c r="M1" s="1981"/>
      <c r="N1" s="1981"/>
      <c r="O1" s="1981"/>
      <c r="P1" s="1981"/>
      <c r="Q1" s="1981"/>
      <c r="R1" s="1981"/>
      <c r="S1" s="1981"/>
    </row>
    <row r="2" spans="1:28" ht="12" customHeight="1" x14ac:dyDescent="0.2">
      <c r="A2" s="47" t="s">
        <v>1993</v>
      </c>
      <c r="D2" s="48"/>
      <c r="I2" s="1982" t="s">
        <v>979</v>
      </c>
      <c r="J2" s="1981"/>
      <c r="K2" s="1981"/>
      <c r="L2" s="1981"/>
      <c r="M2" s="1981"/>
      <c r="N2" s="1981"/>
      <c r="O2" s="1981"/>
      <c r="P2" s="1981"/>
      <c r="Q2" s="1981"/>
      <c r="R2" s="1981"/>
      <c r="S2" s="1981"/>
    </row>
    <row r="3" spans="1:28" ht="12" customHeight="1" x14ac:dyDescent="0.2">
      <c r="A3" s="155" t="s">
        <v>1945</v>
      </c>
      <c r="B3" s="156"/>
      <c r="C3" s="156"/>
      <c r="D3" s="157"/>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4"/>
      <c r="C5" s="26" t="s">
        <v>910</v>
      </c>
      <c r="D5" s="84"/>
      <c r="E5" s="84"/>
      <c r="H5" s="38"/>
      <c r="I5" s="1990" t="s">
        <v>680</v>
      </c>
      <c r="J5" s="1989"/>
      <c r="K5" s="1989"/>
      <c r="L5" s="1989"/>
      <c r="M5" s="1989"/>
      <c r="N5" s="1989"/>
      <c r="O5" s="1989"/>
      <c r="P5" s="1989"/>
      <c r="Q5" s="1989"/>
      <c r="R5" s="1989"/>
      <c r="S5" s="1989"/>
    </row>
    <row r="6" spans="1:28" ht="14.1" customHeight="1" x14ac:dyDescent="0.2">
      <c r="B6" s="104" t="s">
        <v>2064</v>
      </c>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8" t="s">
        <v>2064</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5">
        <v>24047088061</v>
      </c>
      <c r="B13" s="2016"/>
      <c r="C13" s="2016"/>
      <c r="D13" s="2016"/>
      <c r="E13" s="2016"/>
      <c r="F13" s="2016"/>
      <c r="G13" s="2016"/>
      <c r="H13" s="2017"/>
      <c r="I13" s="31"/>
      <c r="J13" s="30"/>
      <c r="K13" s="28"/>
      <c r="L13" s="30"/>
      <c r="M13" s="30"/>
      <c r="N13" s="30"/>
      <c r="O13" s="30"/>
      <c r="P13" s="30"/>
      <c r="Q13" s="30"/>
      <c r="R13" s="30"/>
      <c r="S13" s="30"/>
      <c r="T13" s="2020" t="s">
        <v>2073</v>
      </c>
      <c r="U13" s="2021"/>
      <c r="V13" s="2021"/>
      <c r="W13" s="2021"/>
      <c r="X13" s="2021"/>
      <c r="Y13" s="2022"/>
      <c r="Z13" s="2022"/>
      <c r="AA13" s="202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4" t="s">
        <v>2065</v>
      </c>
      <c r="B15" s="2018"/>
      <c r="C15" s="2018"/>
      <c r="D15" s="2018"/>
      <c r="E15" s="2018"/>
      <c r="F15" s="2018"/>
      <c r="G15" s="2018"/>
      <c r="H15" s="2019"/>
      <c r="T15" s="2024" t="s">
        <v>2074</v>
      </c>
      <c r="U15" s="1968"/>
      <c r="V15" s="1968"/>
      <c r="W15" s="1968"/>
      <c r="X15" s="1968"/>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2081</v>
      </c>
      <c r="B17" s="1975"/>
      <c r="C17" s="1975"/>
      <c r="D17" s="1975"/>
      <c r="E17" s="1975"/>
      <c r="F17" s="1975"/>
      <c r="G17" s="1975"/>
      <c r="H17" s="2000"/>
      <c r="T17" s="2031" t="s">
        <v>2075</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9" t="s">
        <v>677</v>
      </c>
      <c r="AA18" s="46"/>
    </row>
    <row r="19" spans="1:27" ht="13.5" customHeight="1" x14ac:dyDescent="0.2">
      <c r="A19" s="2014" t="s">
        <v>2066</v>
      </c>
      <c r="B19" s="1960"/>
      <c r="C19" s="1960"/>
      <c r="D19" s="1960"/>
      <c r="E19" s="1960"/>
      <c r="F19" s="1960"/>
      <c r="G19" s="1960"/>
      <c r="H19" s="1940"/>
      <c r="I19" s="30"/>
      <c r="J19" s="99"/>
      <c r="K19" s="40"/>
      <c r="L19" s="38"/>
      <c r="M19" s="112" t="s">
        <v>315</v>
      </c>
      <c r="P19" s="27"/>
      <c r="Q19" s="27"/>
      <c r="R19" s="27"/>
      <c r="S19" s="31"/>
      <c r="T19" s="2014" t="s">
        <v>2076</v>
      </c>
      <c r="U19" s="1939"/>
      <c r="V19" s="1939"/>
      <c r="W19" s="1940"/>
      <c r="X19" s="2029" t="s">
        <v>2077</v>
      </c>
      <c r="Y19" s="2030"/>
      <c r="Z19" s="2027">
        <v>60563</v>
      </c>
      <c r="AA19" s="202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8" t="s">
        <v>2067</v>
      </c>
      <c r="B21" s="1939"/>
      <c r="C21" s="1939"/>
      <c r="D21" s="1939"/>
      <c r="E21" s="1939"/>
      <c r="F21" s="1939"/>
      <c r="G21" s="1939"/>
      <c r="H21" s="1940"/>
      <c r="I21" s="1994" t="s">
        <v>678</v>
      </c>
      <c r="J21" s="1989"/>
      <c r="K21" s="1989"/>
      <c r="L21" s="1989"/>
      <c r="M21" s="1989"/>
      <c r="N21" s="1989"/>
      <c r="O21" s="1989"/>
      <c r="P21" s="1989"/>
      <c r="Q21" s="1989"/>
      <c r="R21" s="1989"/>
      <c r="S21" s="1995"/>
      <c r="T21" s="2038">
        <v>6303931483</v>
      </c>
      <c r="U21" s="2039"/>
      <c r="V21" s="2039"/>
      <c r="W21" s="2039"/>
      <c r="X21" s="2044">
        <v>6303932516</v>
      </c>
      <c r="Y21" s="2045"/>
      <c r="Z21" s="2045"/>
      <c r="AA21" s="2046"/>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60" t="s">
        <v>1318</v>
      </c>
      <c r="Z22" s="45"/>
      <c r="AA22" s="46"/>
    </row>
    <row r="23" spans="1:27" ht="13.5" customHeight="1" x14ac:dyDescent="0.2">
      <c r="A23" s="1991" t="s">
        <v>2072</v>
      </c>
      <c r="B23" s="1992"/>
      <c r="C23" s="1992"/>
      <c r="D23" s="1992"/>
      <c r="E23" s="1992"/>
      <c r="F23" s="1992"/>
      <c r="G23" s="1992"/>
      <c r="H23" s="1993"/>
      <c r="T23" s="1974" t="s">
        <v>2078</v>
      </c>
      <c r="U23" s="2037"/>
      <c r="V23" s="2037"/>
      <c r="W23" s="2037"/>
      <c r="X23" s="2041">
        <v>44469</v>
      </c>
      <c r="Y23" s="2042"/>
      <c r="Z23" s="2042"/>
      <c r="AA23" s="2043"/>
    </row>
    <row r="24" spans="1:27" ht="14.1" customHeight="1" x14ac:dyDescent="0.2">
      <c r="A24" s="88" t="s">
        <v>677</v>
      </c>
      <c r="B24" s="49"/>
      <c r="C24" s="49"/>
      <c r="D24" s="49"/>
      <c r="E24" s="49"/>
      <c r="F24" s="49"/>
      <c r="G24" s="49"/>
      <c r="H24" s="61"/>
      <c r="J24" s="1961" t="str">
        <f>IF(B5="x",IF(AUDITCHECK!D29="AFR form Incomplete.","",IF(AUDITCHECK!D29="Deficit reduction plan is required.","School District must complete a deficit reduction plan in the 2019-2020 Budget",)),"")</f>
        <v/>
      </c>
      <c r="K24" s="1961"/>
      <c r="L24" s="1961"/>
      <c r="M24" s="1961"/>
      <c r="N24" s="1961"/>
      <c r="O24" s="1961"/>
      <c r="P24" s="1961"/>
      <c r="Q24" s="1961"/>
      <c r="R24" s="1961"/>
      <c r="S24" s="1962"/>
      <c r="T24" s="105" t="s">
        <v>531</v>
      </c>
      <c r="U24" s="106"/>
      <c r="V24" s="106"/>
      <c r="W24" s="106"/>
      <c r="X24" s="107"/>
      <c r="Y24" s="107"/>
      <c r="Z24" s="107"/>
      <c r="AA24" s="108"/>
    </row>
    <row r="25" spans="1:27" ht="14.1" customHeight="1" x14ac:dyDescent="0.2">
      <c r="A25" s="1938">
        <v>60545</v>
      </c>
      <c r="B25" s="1939"/>
      <c r="C25" s="1939"/>
      <c r="D25" s="1939"/>
      <c r="E25" s="1939"/>
      <c r="F25" s="1939"/>
      <c r="G25" s="1939"/>
      <c r="H25" s="1940"/>
      <c r="I25" s="113"/>
      <c r="J25" s="1963"/>
      <c r="K25" s="1963"/>
      <c r="L25" s="1963"/>
      <c r="M25" s="1963"/>
      <c r="N25" s="1963"/>
      <c r="O25" s="1963"/>
      <c r="P25" s="1963"/>
      <c r="Q25" s="1963"/>
      <c r="R25" s="1963"/>
      <c r="S25" s="1964"/>
      <c r="T25" s="2034" t="s">
        <v>2079</v>
      </c>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9" t="s">
        <v>1511</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2064</v>
      </c>
      <c r="F29" s="141" t="s">
        <v>1316</v>
      </c>
      <c r="G29" s="114"/>
      <c r="I29" s="54"/>
      <c r="J29" s="102"/>
      <c r="K29" s="28" t="s">
        <v>576</v>
      </c>
      <c r="L29" s="102" t="s">
        <v>2064</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02"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c r="Q35" s="1939"/>
      <c r="R35" s="193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t="s">
        <v>2068</v>
      </c>
      <c r="B38" s="1975"/>
      <c r="C38" s="1975"/>
      <c r="D38" s="1975"/>
      <c r="E38" s="1975"/>
      <c r="F38" s="1939"/>
      <c r="G38" s="1939"/>
      <c r="H38" s="1940"/>
      <c r="I38" s="1967"/>
      <c r="J38" s="1968"/>
      <c r="K38" s="1968"/>
      <c r="L38" s="1968"/>
      <c r="M38" s="1968"/>
      <c r="N38" s="1968"/>
      <c r="O38" s="1968"/>
      <c r="P38" s="1969"/>
      <c r="Q38" s="1969"/>
      <c r="R38" s="1969"/>
      <c r="S38" s="1970"/>
      <c r="T38" s="2024"/>
      <c r="U38" s="1968"/>
      <c r="V38" s="1968"/>
      <c r="W38" s="1968"/>
      <c r="X38" s="1969"/>
      <c r="Y38" s="1969"/>
      <c r="Z38" s="1969"/>
      <c r="AA38" s="1970"/>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t="s">
        <v>2069</v>
      </c>
      <c r="B40" s="1953"/>
      <c r="C40" s="1954"/>
      <c r="D40" s="1954"/>
      <c r="E40" s="1954"/>
      <c r="F40" s="1955"/>
      <c r="G40" s="1955"/>
      <c r="H40" s="1956"/>
      <c r="I40" s="1977"/>
      <c r="J40" s="1978"/>
      <c r="K40" s="1978"/>
      <c r="L40" s="1978"/>
      <c r="M40" s="1978"/>
      <c r="N40" s="1978"/>
      <c r="O40" s="1978"/>
      <c r="P40" s="1978"/>
      <c r="Q40" s="1978"/>
      <c r="R40" s="1978"/>
      <c r="S40" s="1979"/>
      <c r="T40" s="1977"/>
      <c r="U40" s="2040"/>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t="s">
        <v>2070</v>
      </c>
      <c r="B42" s="1958"/>
      <c r="C42" s="1959"/>
      <c r="D42" s="1957" t="s">
        <v>2071</v>
      </c>
      <c r="E42" s="1958"/>
      <c r="F42" s="1958"/>
      <c r="G42" s="1958"/>
      <c r="H42" s="1959"/>
      <c r="I42" s="1941"/>
      <c r="J42" s="1942"/>
      <c r="K42" s="1942"/>
      <c r="L42" s="1942"/>
      <c r="M42" s="1942"/>
      <c r="N42" s="1942"/>
      <c r="O42" s="1943"/>
      <c r="P42" s="1976"/>
      <c r="Q42" s="1942"/>
      <c r="R42" s="1942"/>
      <c r="S42" s="1943"/>
      <c r="T42" s="1941"/>
      <c r="U42" s="1942"/>
      <c r="V42" s="1942"/>
      <c r="W42" s="1943"/>
      <c r="X42" s="1976"/>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6"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A9" sqref="A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3629787</v>
      </c>
      <c r="E16" s="356"/>
      <c r="F16" s="1733">
        <f>SUM('Acct Summary 7-8'!C17,'Acct Summary 7-8'!D17,'Acct Summary 7-8'!F17)</f>
        <v>3680794</v>
      </c>
      <c r="G16" s="356"/>
      <c r="H16" s="1733">
        <f>SUM(D16-F16)</f>
        <v>-51007</v>
      </c>
      <c r="I16" s="222"/>
      <c r="J16" s="1733">
        <f>SUM('Acct Summary 7-8'!C81,'Acct Summary 7-8'!D81,'Acct Summary 7-8'!F81,'Acct Summary 7-8'!I81)</f>
        <v>552055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Plano Area Special Ed Coop</v>
      </c>
      <c r="E7" s="391"/>
      <c r="G7" s="252"/>
      <c r="H7" s="387"/>
      <c r="I7" s="387"/>
      <c r="J7" s="387"/>
      <c r="K7" s="387"/>
      <c r="L7" s="329"/>
      <c r="M7" s="329"/>
      <c r="N7" s="329"/>
      <c r="O7" s="329"/>
      <c r="P7" s="329"/>
    </row>
    <row r="8" spans="1:18" ht="12.75" x14ac:dyDescent="0.2">
      <c r="A8" s="329"/>
      <c r="B8" s="329"/>
      <c r="C8" s="389" t="s">
        <v>1125</v>
      </c>
      <c r="D8" s="392">
        <f>COVER!A13</f>
        <v>24047088061</v>
      </c>
      <c r="E8" s="393"/>
      <c r="G8" s="329"/>
      <c r="H8" s="329"/>
      <c r="I8" s="329"/>
      <c r="J8" s="329"/>
      <c r="K8" s="329"/>
      <c r="L8" s="329"/>
      <c r="M8" s="329"/>
      <c r="N8" s="329"/>
      <c r="O8" s="329"/>
      <c r="P8" s="329"/>
    </row>
    <row r="9" spans="1:18" ht="12.75" x14ac:dyDescent="0.2">
      <c r="A9" s="329"/>
      <c r="B9" s="329"/>
      <c r="C9" s="389" t="s">
        <v>713</v>
      </c>
      <c r="D9" s="394" t="str">
        <f>COVER!A15</f>
        <v>KENDALL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552055</v>
      </c>
      <c r="I12" s="404"/>
      <c r="J12" s="404"/>
      <c r="K12" s="405">
        <f>TRUNC((H12/H13*100000),5)/100000</f>
        <v>0.1520901915</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3629787</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3680794</v>
      </c>
      <c r="I17" s="404"/>
      <c r="J17" s="416"/>
      <c r="K17" s="405">
        <f>TRUNC((H17/H18*100000),5)/100000</f>
        <v>1.0140523397000001</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3629787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3.7068696000000001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552055</v>
      </c>
      <c r="I24" s="422"/>
      <c r="J24" s="422"/>
      <c r="K24" s="423">
        <f>TRUNC(((H24/H25*100000)/100000),2)</f>
        <v>53.99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10224.42778</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552055</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552055</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0</v>
      </c>
      <c r="N23" s="1688">
        <f>SUM(N21:N22)</f>
        <v>0</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552055</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c r="N40" s="497"/>
    </row>
    <row r="41" spans="1:14" ht="13.5" customHeight="1" thickBot="1" x14ac:dyDescent="0.25">
      <c r="A41" s="1736" t="s">
        <v>655</v>
      </c>
      <c r="B41" s="1706"/>
      <c r="C41" s="1688">
        <f>(SUM(C34,C37,C38,C39))</f>
        <v>552055</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0</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7" sqref="C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2413772</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353459</v>
      </c>
      <c r="D6" s="1743">
        <f>'Revenues 9-14'!D170</f>
        <v>0</v>
      </c>
      <c r="E6" s="1743">
        <f>'Revenues 9-14'!E170</f>
        <v>0</v>
      </c>
      <c r="F6" s="1743">
        <f>'Revenues 9-14'!F170</f>
        <v>0</v>
      </c>
      <c r="G6" s="1743">
        <f>'Revenues 9-14'!G170</f>
        <v>118000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862556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3629787</v>
      </c>
      <c r="D8" s="1688">
        <f t="shared" ref="D8:K8" si="0">SUM(D4:D7)</f>
        <v>0</v>
      </c>
      <c r="E8" s="1688">
        <f t="shared" si="0"/>
        <v>0</v>
      </c>
      <c r="F8" s="1688">
        <f t="shared" si="0"/>
        <v>0</v>
      </c>
      <c r="G8" s="1688">
        <f t="shared" si="0"/>
        <v>118000</v>
      </c>
      <c r="H8" s="1688">
        <f t="shared" si="0"/>
        <v>0</v>
      </c>
      <c r="I8" s="1688">
        <f t="shared" si="0"/>
        <v>0</v>
      </c>
      <c r="J8" s="1688">
        <f t="shared" si="0"/>
        <v>0</v>
      </c>
      <c r="K8" s="1688">
        <f t="shared" si="0"/>
        <v>0</v>
      </c>
      <c r="L8" s="347"/>
    </row>
    <row r="9" spans="1:13" ht="15.75" thickTop="1" x14ac:dyDescent="0.2">
      <c r="A9" s="514" t="s">
        <v>1653</v>
      </c>
      <c r="B9" s="515">
        <v>3998</v>
      </c>
      <c r="C9" s="481">
        <v>1180418</v>
      </c>
      <c r="D9" s="516"/>
      <c r="E9" s="481"/>
      <c r="F9" s="481"/>
      <c r="G9" s="517"/>
      <c r="H9" s="481"/>
      <c r="I9" s="509" t="s">
        <v>1169</v>
      </c>
      <c r="J9" s="478"/>
      <c r="K9" s="481"/>
      <c r="L9" s="347"/>
    </row>
    <row r="10" spans="1:13" s="519" customFormat="1" ht="13.5" thickBot="1" x14ac:dyDescent="0.25">
      <c r="A10" s="1736" t="s">
        <v>1173</v>
      </c>
      <c r="B10" s="1709"/>
      <c r="C10" s="1688">
        <f>SUM(C8:C9)</f>
        <v>4810205</v>
      </c>
      <c r="D10" s="1688">
        <f t="shared" ref="D10:K10" si="1">SUM(D8:D9)</f>
        <v>0</v>
      </c>
      <c r="E10" s="1688">
        <f t="shared" si="1"/>
        <v>0</v>
      </c>
      <c r="F10" s="1688">
        <f t="shared" si="1"/>
        <v>0</v>
      </c>
      <c r="G10" s="1688">
        <f t="shared" si="1"/>
        <v>118000</v>
      </c>
      <c r="H10" s="1688">
        <f t="shared" si="1"/>
        <v>0</v>
      </c>
      <c r="I10" s="1688">
        <f t="shared" si="1"/>
        <v>0</v>
      </c>
      <c r="J10" s="1688">
        <f t="shared" si="1"/>
        <v>0</v>
      </c>
      <c r="K10" s="1688">
        <f t="shared" si="1"/>
        <v>0</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1298508</v>
      </c>
      <c r="D12" s="520" t="s">
        <v>1169</v>
      </c>
      <c r="E12" s="468" t="s">
        <v>1169</v>
      </c>
      <c r="F12" s="468" t="s">
        <v>1169</v>
      </c>
      <c r="G12" s="1742">
        <f>'Expenditures 15-22'!K229</f>
        <v>91955</v>
      </c>
      <c r="H12" s="521"/>
      <c r="I12" s="468" t="s">
        <v>1169</v>
      </c>
      <c r="J12" s="468" t="s">
        <v>1169</v>
      </c>
      <c r="K12" s="521" t="s">
        <v>1169</v>
      </c>
      <c r="L12" s="347"/>
    </row>
    <row r="13" spans="1:13" ht="15.75" customHeight="1" x14ac:dyDescent="0.2">
      <c r="A13" s="1576" t="s">
        <v>457</v>
      </c>
      <c r="B13" s="1578">
        <v>2000</v>
      </c>
      <c r="C13" s="1743">
        <f>'Expenditures 15-22'!K74</f>
        <v>1682066</v>
      </c>
      <c r="D13" s="1743">
        <f>'Expenditures 15-22'!K129</f>
        <v>0</v>
      </c>
      <c r="E13" s="469" t="s">
        <v>1169</v>
      </c>
      <c r="F13" s="1743">
        <f>'Expenditures 15-22'!K184</f>
        <v>0</v>
      </c>
      <c r="G13" s="1743">
        <f>'Expenditures 15-22'!K279</f>
        <v>25328</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700220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3680794</v>
      </c>
      <c r="D17" s="1688">
        <f t="shared" si="2"/>
        <v>0</v>
      </c>
      <c r="E17" s="1688">
        <f t="shared" si="2"/>
        <v>0</v>
      </c>
      <c r="F17" s="1688">
        <f t="shared" si="2"/>
        <v>0</v>
      </c>
      <c r="G17" s="1688">
        <f t="shared" si="2"/>
        <v>117283</v>
      </c>
      <c r="H17" s="1688">
        <f t="shared" si="2"/>
        <v>0</v>
      </c>
      <c r="I17" s="468"/>
      <c r="J17" s="1688">
        <f>SUM(J12:J16)</f>
        <v>0</v>
      </c>
      <c r="K17" s="1688">
        <f>SUM(K12:K16)</f>
        <v>0</v>
      </c>
      <c r="L17" s="347"/>
    </row>
    <row r="18" spans="1:12" ht="15" customHeight="1" thickTop="1" x14ac:dyDescent="0.2">
      <c r="A18" s="1744" t="s">
        <v>1654</v>
      </c>
      <c r="B18" s="1745">
        <v>4180</v>
      </c>
      <c r="C18" s="1742">
        <f t="shared" ref="C18:H18" si="3">C9</f>
        <v>1180418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4861212</v>
      </c>
      <c r="D19" s="1688">
        <f t="shared" si="4"/>
        <v>0</v>
      </c>
      <c r="E19" s="1688">
        <f t="shared" si="4"/>
        <v>0</v>
      </c>
      <c r="F19" s="1688">
        <f t="shared" si="4"/>
        <v>0</v>
      </c>
      <c r="G19" s="1688">
        <f t="shared" si="4"/>
        <v>117283</v>
      </c>
      <c r="H19" s="1688">
        <f t="shared" si="4"/>
        <v>0</v>
      </c>
      <c r="I19" s="468"/>
      <c r="J19" s="1688">
        <f>SUM(J17:J18)</f>
        <v>0</v>
      </c>
      <c r="K19" s="1688">
        <f>SUM(K17:K18)</f>
        <v>0</v>
      </c>
      <c r="L19" s="347"/>
    </row>
    <row r="20" spans="1:12" ht="16.5" thickTop="1" thickBot="1" x14ac:dyDescent="0.25">
      <c r="A20" s="2123" t="s">
        <v>1655</v>
      </c>
      <c r="B20" s="2124"/>
      <c r="C20" s="1746">
        <f>C8-C17</f>
        <v>-51007</v>
      </c>
      <c r="D20" s="1746">
        <f t="shared" ref="D20:K20" si="5">D8-D17</f>
        <v>0</v>
      </c>
      <c r="E20" s="1746">
        <f t="shared" si="5"/>
        <v>0</v>
      </c>
      <c r="F20" s="1746">
        <f t="shared" si="5"/>
        <v>0</v>
      </c>
      <c r="G20" s="1746">
        <f t="shared" si="5"/>
        <v>717</v>
      </c>
      <c r="H20" s="1746">
        <f t="shared" si="5"/>
        <v>0</v>
      </c>
      <c r="I20" s="1746">
        <f t="shared" si="5"/>
        <v>0</v>
      </c>
      <c r="J20" s="1746">
        <f t="shared" si="5"/>
        <v>0</v>
      </c>
      <c r="K20" s="1746">
        <f t="shared" si="5"/>
        <v>0</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v>221966</v>
      </c>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0</v>
      </c>
      <c r="D44" s="1703">
        <f t="shared" ref="D44:K44" si="6">SUM(D24:D43)</f>
        <v>0</v>
      </c>
      <c r="E44" s="1703">
        <f t="shared" si="6"/>
        <v>0</v>
      </c>
      <c r="F44" s="1703">
        <f t="shared" si="6"/>
        <v>0</v>
      </c>
      <c r="G44" s="1703">
        <f t="shared" si="6"/>
        <v>221966</v>
      </c>
      <c r="H44" s="1703">
        <f t="shared" si="6"/>
        <v>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v>221966</v>
      </c>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221966</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5" t="s">
        <v>1177</v>
      </c>
      <c r="B77" s="2116"/>
      <c r="C77" s="1703">
        <f t="shared" ref="C77:K77" si="8">C44-C76</f>
        <v>-221966</v>
      </c>
      <c r="D77" s="1703">
        <f t="shared" si="8"/>
        <v>0</v>
      </c>
      <c r="E77" s="1703">
        <f t="shared" si="8"/>
        <v>0</v>
      </c>
      <c r="F77" s="1703">
        <f t="shared" si="8"/>
        <v>0</v>
      </c>
      <c r="G77" s="1703">
        <f t="shared" si="8"/>
        <v>221966</v>
      </c>
      <c r="H77" s="1703">
        <f t="shared" si="8"/>
        <v>0</v>
      </c>
      <c r="I77" s="1703">
        <f t="shared" si="8"/>
        <v>0</v>
      </c>
      <c r="J77" s="1703">
        <f t="shared" si="8"/>
        <v>0</v>
      </c>
      <c r="K77" s="1703">
        <f t="shared" si="8"/>
        <v>0</v>
      </c>
      <c r="L77" s="347"/>
    </row>
    <row r="78" spans="1:12" ht="21.75" customHeight="1" thickTop="1" thickBot="1" x14ac:dyDescent="0.25">
      <c r="A78" s="2119" t="s">
        <v>597</v>
      </c>
      <c r="B78" s="2120"/>
      <c r="C78" s="1702">
        <f t="shared" ref="C78:K78" si="9">C20+C77</f>
        <v>-272973</v>
      </c>
      <c r="D78" s="1702">
        <f t="shared" si="9"/>
        <v>0</v>
      </c>
      <c r="E78" s="1702">
        <f t="shared" si="9"/>
        <v>0</v>
      </c>
      <c r="F78" s="1702">
        <f t="shared" si="9"/>
        <v>0</v>
      </c>
      <c r="G78" s="1702">
        <f t="shared" si="9"/>
        <v>222683</v>
      </c>
      <c r="H78" s="1702">
        <f t="shared" si="9"/>
        <v>0</v>
      </c>
      <c r="I78" s="1702">
        <f t="shared" si="9"/>
        <v>0</v>
      </c>
      <c r="J78" s="1702">
        <f t="shared" si="9"/>
        <v>0</v>
      </c>
      <c r="K78" s="1702">
        <f t="shared" si="9"/>
        <v>0</v>
      </c>
      <c r="L78" s="533"/>
    </row>
    <row r="79" spans="1:12" ht="13.5" thickTop="1" x14ac:dyDescent="0.2">
      <c r="A79" s="1494" t="s">
        <v>1949</v>
      </c>
      <c r="B79" s="534"/>
      <c r="C79" s="478">
        <v>825028</v>
      </c>
      <c r="D79" s="535"/>
      <c r="E79" s="535"/>
      <c r="F79" s="535"/>
      <c r="G79" s="535">
        <v>-222683</v>
      </c>
      <c r="H79" s="535"/>
      <c r="I79" s="535"/>
      <c r="J79" s="535"/>
      <c r="K79" s="535"/>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1950</v>
      </c>
      <c r="B81" s="2118"/>
      <c r="C81" s="1688">
        <f>(SUM(C78:C80))</f>
        <v>552055</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-272973</v>
      </c>
      <c r="D82" s="538">
        <f t="shared" ref="D82:K82" si="11">(D81-D79)</f>
        <v>0</v>
      </c>
      <c r="E82" s="538">
        <f t="shared" si="11"/>
        <v>0</v>
      </c>
      <c r="F82" s="538">
        <f t="shared" si="11"/>
        <v>0</v>
      </c>
      <c r="G82" s="538">
        <f t="shared" si="11"/>
        <v>222683</v>
      </c>
      <c r="H82" s="538">
        <f t="shared" si="11"/>
        <v>0</v>
      </c>
      <c r="I82" s="538">
        <f t="shared" si="11"/>
        <v>0</v>
      </c>
      <c r="J82" s="538">
        <f t="shared" si="11"/>
        <v>0</v>
      </c>
      <c r="K82" s="538">
        <f t="shared" si="11"/>
        <v>0</v>
      </c>
    </row>
    <row r="83" spans="1:12" ht="14.25" hidden="1" thickTop="1" thickBot="1" x14ac:dyDescent="0.25">
      <c r="A83" s="539" t="s">
        <v>344</v>
      </c>
      <c r="B83" s="464"/>
      <c r="C83" s="540">
        <f>C82/C81</f>
        <v>-0.49446703679886966</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8" activePane="bottomLeft" state="frozen"/>
      <selection pane="bottomLef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2222820</v>
      </c>
      <c r="D33" s="468"/>
      <c r="E33" s="468"/>
      <c r="F33" s="468"/>
      <c r="G33" s="468"/>
      <c r="H33" s="468"/>
      <c r="I33" s="468"/>
      <c r="J33" s="468"/>
      <c r="K33" s="468"/>
    </row>
    <row r="34" spans="1:11" ht="12.75" customHeight="1" x14ac:dyDescent="0.2">
      <c r="A34" s="463" t="s">
        <v>495</v>
      </c>
      <c r="B34" s="470">
        <v>1343</v>
      </c>
      <c r="C34" s="551">
        <v>189902</v>
      </c>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2412722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0</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210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840</v>
      </c>
      <c r="D107" s="466"/>
      <c r="E107" s="466"/>
      <c r="F107" s="466"/>
      <c r="G107" s="466"/>
      <c r="H107" s="466"/>
      <c r="I107" s="466"/>
      <c r="J107" s="467"/>
      <c r="K107" s="466"/>
    </row>
    <row r="108" spans="1:12" ht="12.75" customHeight="1" thickBot="1" x14ac:dyDescent="0.25">
      <c r="A108" s="1708" t="s">
        <v>487</v>
      </c>
      <c r="B108" s="1712"/>
      <c r="C108" s="1707">
        <f>SUM(C95:C107)</f>
        <v>1050</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2413772</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314811</v>
      </c>
      <c r="D117" s="481"/>
      <c r="E117" s="466"/>
      <c r="F117" s="481"/>
      <c r="G117" s="481">
        <v>118000</v>
      </c>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1"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314811</v>
      </c>
      <c r="D122" s="1707">
        <f t="shared" si="5"/>
        <v>0</v>
      </c>
      <c r="E122" s="1707">
        <f t="shared" si="5"/>
        <v>0</v>
      </c>
      <c r="F122" s="1707">
        <f t="shared" si="5"/>
        <v>0</v>
      </c>
      <c r="G122" s="1707">
        <f t="shared" si="5"/>
        <v>118000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38648</v>
      </c>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38648</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353459</v>
      </c>
      <c r="D170" s="1715">
        <f t="shared" si="7"/>
        <v>0</v>
      </c>
      <c r="E170" s="1715">
        <f t="shared" si="7"/>
        <v>0</v>
      </c>
      <c r="F170" s="1715">
        <f t="shared" si="7"/>
        <v>0</v>
      </c>
      <c r="G170" s="1715">
        <f t="shared" si="7"/>
        <v>118000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14208</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703616</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717824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1937</v>
      </c>
      <c r="B261" s="470">
        <v>4981</v>
      </c>
      <c r="C261" s="575"/>
      <c r="D261" s="576"/>
      <c r="E261" s="468"/>
      <c r="F261" s="576"/>
      <c r="G261" s="576"/>
      <c r="H261" s="468"/>
      <c r="I261" s="468"/>
      <c r="J261" s="468"/>
      <c r="K261" s="468"/>
    </row>
    <row r="262" spans="1:11" ht="12.75" customHeight="1" thickTop="1" thickBot="1" x14ac:dyDescent="0.25">
      <c r="A262" s="1932"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23814</v>
      </c>
      <c r="D263" s="576"/>
      <c r="E263" s="468"/>
      <c r="F263" s="576"/>
      <c r="G263" s="576"/>
      <c r="H263" s="468"/>
      <c r="I263" s="468"/>
      <c r="J263" s="468"/>
      <c r="K263" s="468"/>
    </row>
    <row r="264" spans="1:11" ht="12.75" customHeight="1" thickTop="1" thickBot="1" x14ac:dyDescent="0.25">
      <c r="A264" s="463" t="s">
        <v>377</v>
      </c>
      <c r="B264" s="470">
        <v>4992</v>
      </c>
      <c r="C264" s="575">
        <v>120918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862556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862556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3629787</v>
      </c>
      <c r="D268" s="1715">
        <f t="shared" si="12"/>
        <v>0</v>
      </c>
      <c r="E268" s="1715">
        <f t="shared" si="12"/>
        <v>0</v>
      </c>
      <c r="F268" s="1715">
        <f t="shared" si="12"/>
        <v>0</v>
      </c>
      <c r="G268" s="1715">
        <f t="shared" si="12"/>
        <v>118000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L77" sqref="L7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1010863</v>
      </c>
      <c r="D8" s="466">
        <v>133919</v>
      </c>
      <c r="E8" s="466">
        <v>11612</v>
      </c>
      <c r="F8" s="466">
        <v>18343</v>
      </c>
      <c r="G8" s="466"/>
      <c r="H8" s="466"/>
      <c r="I8" s="467">
        <v>14424</v>
      </c>
      <c r="J8" s="467"/>
      <c r="K8" s="1671">
        <f t="shared" si="0"/>
        <v>1189161</v>
      </c>
      <c r="L8" s="466">
        <v>1244040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f>217984-181599</f>
        <v>36385</v>
      </c>
      <c r="D13" s="466">
        <f>22374-15358</f>
        <v>7016</v>
      </c>
      <c r="E13" s="466"/>
      <c r="F13" s="466"/>
      <c r="G13" s="466"/>
      <c r="H13" s="466"/>
      <c r="I13" s="467"/>
      <c r="J13" s="467"/>
      <c r="K13" s="1671">
        <f t="shared" si="0"/>
        <v>43401</v>
      </c>
      <c r="L13" s="466">
        <v>98110</v>
      </c>
    </row>
    <row r="14" spans="1:14" x14ac:dyDescent="0.2">
      <c r="A14" s="1504" t="s">
        <v>963</v>
      </c>
      <c r="B14" s="614">
        <v>1500</v>
      </c>
      <c r="C14" s="466">
        <f>213806-208306</f>
        <v>5500</v>
      </c>
      <c r="D14" s="466">
        <v>17</v>
      </c>
      <c r="E14" s="466">
        <v>310</v>
      </c>
      <c r="F14" s="466">
        <v>1337</v>
      </c>
      <c r="G14" s="466"/>
      <c r="H14" s="466"/>
      <c r="I14" s="467"/>
      <c r="J14" s="467"/>
      <c r="K14" s="1671">
        <f t="shared" si="0"/>
        <v>7164</v>
      </c>
      <c r="L14" s="466">
        <v>10905</v>
      </c>
    </row>
    <row r="15" spans="1:14" x14ac:dyDescent="0.2">
      <c r="A15" s="1504" t="s">
        <v>964</v>
      </c>
      <c r="B15" s="614">
        <v>1600</v>
      </c>
      <c r="C15" s="466">
        <v>58311</v>
      </c>
      <c r="D15" s="466">
        <v>265</v>
      </c>
      <c r="E15" s="466"/>
      <c r="F15" s="466">
        <v>206</v>
      </c>
      <c r="G15" s="466"/>
      <c r="H15" s="466"/>
      <c r="I15" s="467"/>
      <c r="J15" s="467"/>
      <c r="K15" s="1671">
        <f t="shared" si="0"/>
        <v>58782</v>
      </c>
      <c r="L15" s="466">
        <v>76850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1111059</v>
      </c>
      <c r="D33" s="1670">
        <f t="shared" ref="D33:L33" si="1">SUM(D5:D32)</f>
        <v>141217</v>
      </c>
      <c r="E33" s="1670">
        <f t="shared" si="1"/>
        <v>11922</v>
      </c>
      <c r="F33" s="1670">
        <f t="shared" si="1"/>
        <v>19886</v>
      </c>
      <c r="G33" s="1670">
        <f t="shared" si="1"/>
        <v>0</v>
      </c>
      <c r="H33" s="1670">
        <f t="shared" si="1"/>
        <v>0</v>
      </c>
      <c r="I33" s="1670">
        <f t="shared" si="1"/>
        <v>14424</v>
      </c>
      <c r="J33" s="1670">
        <f t="shared" si="1"/>
        <v>0</v>
      </c>
      <c r="K33" s="1670">
        <f t="shared" si="1"/>
        <v>1298508</v>
      </c>
      <c r="L33" s="1670">
        <f t="shared" si="1"/>
        <v>1429905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335314</v>
      </c>
      <c r="D36" s="481">
        <f>44508-3050-2770</f>
        <v>38688</v>
      </c>
      <c r="E36" s="481">
        <v>290</v>
      </c>
      <c r="F36" s="481">
        <v>868</v>
      </c>
      <c r="G36" s="481"/>
      <c r="H36" s="481"/>
      <c r="I36" s="467"/>
      <c r="J36" s="467"/>
      <c r="K36" s="1671">
        <f t="shared" ref="K36:K41" si="2">SUM(C36:J36)</f>
        <v>375160</v>
      </c>
      <c r="L36" s="466">
        <v>386573</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145540</v>
      </c>
      <c r="D38" s="466">
        <v>105</v>
      </c>
      <c r="E38" s="466">
        <v>11995</v>
      </c>
      <c r="F38" s="466">
        <v>3225</v>
      </c>
      <c r="G38" s="466"/>
      <c r="H38" s="466"/>
      <c r="I38" s="467">
        <v>2199</v>
      </c>
      <c r="J38" s="467"/>
      <c r="K38" s="1671">
        <f t="shared" si="2"/>
        <v>163064</v>
      </c>
      <c r="L38" s="466">
        <v>174360</v>
      </c>
    </row>
    <row r="39" spans="1:14" x14ac:dyDescent="0.2">
      <c r="A39" s="1504" t="s">
        <v>199</v>
      </c>
      <c r="B39" s="614">
        <v>2140</v>
      </c>
      <c r="C39" s="466">
        <f>181599</f>
        <v>181599</v>
      </c>
      <c r="D39" s="466">
        <f>15358</f>
        <v>15358</v>
      </c>
      <c r="E39" s="466">
        <f>1287+5742</f>
        <v>7029</v>
      </c>
      <c r="F39" s="466">
        <v>1092</v>
      </c>
      <c r="G39" s="466"/>
      <c r="H39" s="466"/>
      <c r="I39" s="467"/>
      <c r="J39" s="467"/>
      <c r="K39" s="1671">
        <f t="shared" si="2"/>
        <v>205078</v>
      </c>
      <c r="L39" s="466">
        <v>202475</v>
      </c>
    </row>
    <row r="40" spans="1:14" x14ac:dyDescent="0.2">
      <c r="A40" s="1504" t="s">
        <v>200</v>
      </c>
      <c r="B40" s="614">
        <v>2150</v>
      </c>
      <c r="C40" s="466">
        <v>208306</v>
      </c>
      <c r="D40" s="466">
        <v>15071</v>
      </c>
      <c r="E40" s="466">
        <f>145099+338</f>
        <v>145437</v>
      </c>
      <c r="F40" s="466">
        <f>332+695</f>
        <v>1027</v>
      </c>
      <c r="G40" s="466"/>
      <c r="H40" s="466"/>
      <c r="I40" s="467">
        <v>3161</v>
      </c>
      <c r="J40" s="467"/>
      <c r="K40" s="1671">
        <f t="shared" si="2"/>
        <v>373002</v>
      </c>
      <c r="L40" s="466">
        <v>391740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870759</v>
      </c>
      <c r="D42" s="1670">
        <f t="shared" ref="D42:L42" si="3">SUM(D36:D41)</f>
        <v>69222</v>
      </c>
      <c r="E42" s="1670">
        <f t="shared" si="3"/>
        <v>164751</v>
      </c>
      <c r="F42" s="1670">
        <f t="shared" si="3"/>
        <v>6212</v>
      </c>
      <c r="G42" s="1670">
        <f t="shared" si="3"/>
        <v>0</v>
      </c>
      <c r="H42" s="1670">
        <f t="shared" si="3"/>
        <v>0</v>
      </c>
      <c r="I42" s="1670">
        <f t="shared" si="3"/>
        <v>5360</v>
      </c>
      <c r="J42" s="1670">
        <f t="shared" si="3"/>
        <v>0</v>
      </c>
      <c r="K42" s="1670">
        <f t="shared" si="3"/>
        <v>1116304</v>
      </c>
      <c r="L42" s="1670">
        <f t="shared" si="3"/>
        <v>1155148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42998</v>
      </c>
      <c r="F44" s="481"/>
      <c r="G44" s="481"/>
      <c r="H44" s="481"/>
      <c r="I44" s="467"/>
      <c r="J44" s="467"/>
      <c r="K44" s="1672">
        <f>SUM(C44:J44)</f>
        <v>42998</v>
      </c>
      <c r="L44" s="481">
        <v>30000</v>
      </c>
    </row>
    <row r="45" spans="1:14" x14ac:dyDescent="0.2">
      <c r="A45" s="1504" t="s">
        <v>815</v>
      </c>
      <c r="B45" s="614">
        <v>2220</v>
      </c>
      <c r="C45" s="466"/>
      <c r="D45" s="466"/>
      <c r="E45" s="466">
        <v>17750</v>
      </c>
      <c r="F45" s="466">
        <v>12358</v>
      </c>
      <c r="G45" s="466">
        <v>2007</v>
      </c>
      <c r="H45" s="466"/>
      <c r="I45" s="467"/>
      <c r="J45" s="467"/>
      <c r="K45" s="1672">
        <f>SUM(C45:J45)</f>
        <v>32115</v>
      </c>
      <c r="L45" s="466">
        <v>62780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60748</v>
      </c>
      <c r="F47" s="1670">
        <f t="shared" si="4"/>
        <v>12358</v>
      </c>
      <c r="G47" s="1670">
        <f t="shared" si="4"/>
        <v>2007</v>
      </c>
      <c r="H47" s="1670">
        <f t="shared" si="4"/>
        <v>0</v>
      </c>
      <c r="I47" s="1670">
        <f t="shared" si="4"/>
        <v>0</v>
      </c>
      <c r="J47" s="1670">
        <f t="shared" si="4"/>
        <v>0</v>
      </c>
      <c r="K47" s="1670">
        <f t="shared" si="4"/>
        <v>75113</v>
      </c>
      <c r="L47" s="1670">
        <f>SUM(L44:L46)</f>
        <v>92780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v>154445</v>
      </c>
      <c r="D50" s="466">
        <f>25878+3050</f>
        <v>28928</v>
      </c>
      <c r="E50" s="466">
        <v>38181</v>
      </c>
      <c r="F50" s="466">
        <v>3399</v>
      </c>
      <c r="G50" s="466"/>
      <c r="H50" s="466"/>
      <c r="I50" s="467"/>
      <c r="J50" s="467"/>
      <c r="K50" s="1672">
        <f>SUM(C50:J50)</f>
        <v>224953</v>
      </c>
      <c r="L50" s="466">
        <v>266250</v>
      </c>
    </row>
    <row r="51" spans="1:14" x14ac:dyDescent="0.2">
      <c r="A51" s="1504" t="s">
        <v>42</v>
      </c>
      <c r="B51" s="614">
        <v>2330</v>
      </c>
      <c r="C51" s="466">
        <v>183977</v>
      </c>
      <c r="D51" s="466">
        <f>12439+2770</f>
        <v>15209</v>
      </c>
      <c r="E51" s="466">
        <v>2064</v>
      </c>
      <c r="F51" s="466"/>
      <c r="G51" s="466"/>
      <c r="H51" s="466"/>
      <c r="I51" s="467"/>
      <c r="J51" s="467"/>
      <c r="K51" s="1672">
        <f>SUM(C51:J51)</f>
        <v>201250</v>
      </c>
      <c r="L51" s="466">
        <v>190755</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338422</v>
      </c>
      <c r="D53" s="1670">
        <f t="shared" ref="D53:L53" si="5">SUM(D49:D52)</f>
        <v>44137</v>
      </c>
      <c r="E53" s="1670">
        <f t="shared" si="5"/>
        <v>40245</v>
      </c>
      <c r="F53" s="1670">
        <f t="shared" si="5"/>
        <v>3399</v>
      </c>
      <c r="G53" s="1670">
        <f t="shared" si="5"/>
        <v>0</v>
      </c>
      <c r="H53" s="1670">
        <f t="shared" si="5"/>
        <v>0</v>
      </c>
      <c r="I53" s="1670">
        <f t="shared" si="5"/>
        <v>0</v>
      </c>
      <c r="J53" s="1670">
        <f t="shared" si="5"/>
        <v>0</v>
      </c>
      <c r="K53" s="1670">
        <f t="shared" si="5"/>
        <v>426203</v>
      </c>
      <c r="L53" s="1670">
        <f t="shared" si="5"/>
        <v>457005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2">
        <f t="shared" si="7"/>
        <v>0</v>
      </c>
      <c r="L60" s="466"/>
      <c r="M60" s="609"/>
      <c r="N60" s="609"/>
    </row>
    <row r="61" spans="1:14" s="343" customFormat="1" x14ac:dyDescent="0.2">
      <c r="A61" s="1504" t="s">
        <v>197</v>
      </c>
      <c r="B61" s="614">
        <v>2540</v>
      </c>
      <c r="C61" s="466"/>
      <c r="D61" s="466"/>
      <c r="E61" s="466"/>
      <c r="F61" s="466"/>
      <c r="G61" s="466">
        <v>61299</v>
      </c>
      <c r="H61" s="466"/>
      <c r="I61" s="467"/>
      <c r="J61" s="467"/>
      <c r="K61" s="1672">
        <f t="shared" si="7"/>
        <v>61299</v>
      </c>
      <c r="L61" s="466">
        <v>95000</v>
      </c>
      <c r="M61" s="609"/>
      <c r="N61" s="609"/>
    </row>
    <row r="62" spans="1:14" s="343" customFormat="1" x14ac:dyDescent="0.2">
      <c r="A62" s="1504" t="s">
        <v>953</v>
      </c>
      <c r="B62" s="614">
        <v>2550</v>
      </c>
      <c r="C62" s="466"/>
      <c r="D62" s="466"/>
      <c r="E62" s="466"/>
      <c r="F62" s="466"/>
      <c r="G62" s="466"/>
      <c r="H62" s="466"/>
      <c r="I62" s="467"/>
      <c r="J62" s="467"/>
      <c r="K62" s="1672">
        <f t="shared" si="7"/>
        <v>0</v>
      </c>
      <c r="L62" s="466">
        <v>25000</v>
      </c>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v>3147</v>
      </c>
      <c r="J64" s="467"/>
      <c r="K64" s="1672">
        <f t="shared" si="7"/>
        <v>3147</v>
      </c>
      <c r="L64" s="481">
        <v>9000</v>
      </c>
    </row>
    <row r="65" spans="1:14" s="343" customFormat="1" ht="12.75" customHeight="1" thickBot="1" x14ac:dyDescent="0.25">
      <c r="A65" s="1668" t="s">
        <v>719</v>
      </c>
      <c r="B65" s="1669" t="s">
        <v>35</v>
      </c>
      <c r="C65" s="1670">
        <f>SUM(C59:C64)</f>
        <v>0</v>
      </c>
      <c r="D65" s="1670">
        <f t="shared" ref="D65:L65" si="8">SUM(D59:D64)</f>
        <v>0</v>
      </c>
      <c r="E65" s="1670">
        <f t="shared" si="8"/>
        <v>0</v>
      </c>
      <c r="F65" s="1670">
        <f t="shared" si="8"/>
        <v>0</v>
      </c>
      <c r="G65" s="1670">
        <f t="shared" si="8"/>
        <v>61299</v>
      </c>
      <c r="H65" s="1670">
        <f t="shared" si="8"/>
        <v>0</v>
      </c>
      <c r="I65" s="1670">
        <f t="shared" si="8"/>
        <v>3147</v>
      </c>
      <c r="J65" s="1670">
        <f t="shared" si="8"/>
        <v>0</v>
      </c>
      <c r="K65" s="1670">
        <f t="shared" si="8"/>
        <v>64446</v>
      </c>
      <c r="L65" s="1670">
        <f t="shared" si="8"/>
        <v>129000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1209181</v>
      </c>
      <c r="D74" s="1677">
        <f t="shared" ref="D74:K74" si="10">SUM(D42,D47,D53,D57,D65,D72,D73)</f>
        <v>113359</v>
      </c>
      <c r="E74" s="1677">
        <f t="shared" si="10"/>
        <v>265744</v>
      </c>
      <c r="F74" s="1677">
        <f t="shared" si="10"/>
        <v>21969</v>
      </c>
      <c r="G74" s="1677">
        <f t="shared" si="10"/>
        <v>63306</v>
      </c>
      <c r="H74" s="1677">
        <f t="shared" si="10"/>
        <v>0</v>
      </c>
      <c r="I74" s="1677">
        <f t="shared" si="10"/>
        <v>8507</v>
      </c>
      <c r="J74" s="1677">
        <f t="shared" si="10"/>
        <v>0</v>
      </c>
      <c r="K74" s="1677">
        <f t="shared" si="10"/>
        <v>1682066</v>
      </c>
      <c r="L74" s="1677">
        <f>SUM(L42,L47,L53,L57,L65,L72,L73)</f>
        <v>1833933</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19960</v>
      </c>
      <c r="F78" s="616"/>
      <c r="G78" s="616"/>
      <c r="H78" s="634"/>
      <c r="I78" s="477"/>
      <c r="J78" s="477"/>
      <c r="K78" s="1671">
        <f t="shared" ref="K78:K83" si="11">SUM(C78:J78)</f>
        <v>19960</v>
      </c>
      <c r="L78" s="481">
        <v>24500</v>
      </c>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19960</v>
      </c>
      <c r="F84" s="616"/>
      <c r="G84" s="616"/>
      <c r="H84" s="1670">
        <f>SUM(H78:H83)</f>
        <v>0</v>
      </c>
      <c r="I84" s="477"/>
      <c r="J84" s="477"/>
      <c r="K84" s="1670">
        <f>SUM(K78:K83)</f>
        <v>19960</v>
      </c>
      <c r="L84" s="1670">
        <f>SUM(L78:L83)</f>
        <v>24500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680260</v>
      </c>
      <c r="I86" s="477"/>
      <c r="J86" s="477"/>
      <c r="K86" s="1677">
        <f t="shared" ref="K86:K98" si="12">H86</f>
        <v>680260</v>
      </c>
      <c r="L86" s="530">
        <v>620000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680260</v>
      </c>
      <c r="I92" s="477"/>
      <c r="J92" s="477"/>
      <c r="K92" s="1677">
        <f t="shared" si="12"/>
        <v>680260</v>
      </c>
      <c r="L92" s="1670">
        <f>SUM(L85:L91)</f>
        <v>620000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19960</v>
      </c>
      <c r="F102" s="616"/>
      <c r="G102" s="616"/>
      <c r="H102" s="1677">
        <f>SUM(H84,H92,H100,H101)</f>
        <v>680260</v>
      </c>
      <c r="I102" s="477"/>
      <c r="J102" s="477"/>
      <c r="K102" s="1677">
        <f>SUM(K84,K92,K100,K101)</f>
        <v>700220</v>
      </c>
      <c r="L102" s="1677">
        <f>SUM(L84,L92,L100,L101)</f>
        <v>644500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2320240</v>
      </c>
      <c r="D114" s="1670">
        <f t="shared" ref="D114:K114" si="13">SUM(D33,D74,D75,D102,D112,D113)</f>
        <v>254576</v>
      </c>
      <c r="E114" s="1670">
        <f t="shared" si="13"/>
        <v>297626</v>
      </c>
      <c r="F114" s="1670">
        <f t="shared" si="13"/>
        <v>41855</v>
      </c>
      <c r="G114" s="1670">
        <f t="shared" si="13"/>
        <v>63306</v>
      </c>
      <c r="H114" s="1670">
        <f>SUM(H33,H74,H75,H102,H112,H113)</f>
        <v>680260</v>
      </c>
      <c r="I114" s="1670">
        <f t="shared" si="13"/>
        <v>22931</v>
      </c>
      <c r="J114" s="1670">
        <f t="shared" si="13"/>
        <v>0</v>
      </c>
      <c r="K114" s="1670">
        <f t="shared" si="13"/>
        <v>3680794</v>
      </c>
      <c r="L114" s="1670">
        <f>SUM(L33,L74,L75,L102,L112,L113)</f>
        <v>3908338</v>
      </c>
    </row>
    <row r="115" spans="1:14" ht="13.5" thickTop="1" x14ac:dyDescent="0.2">
      <c r="A115" s="2153" t="s">
        <v>996</v>
      </c>
      <c r="B115" s="2154"/>
      <c r="C115" s="618"/>
      <c r="D115" s="618"/>
      <c r="E115" s="618"/>
      <c r="F115" s="618"/>
      <c r="G115" s="618"/>
      <c r="H115" s="618"/>
      <c r="I115" s="618"/>
      <c r="J115" s="618"/>
      <c r="K115" s="1684">
        <f>'Revenues 9-14'!C268-'Expenditures 15-22'!K114</f>
        <v>-51007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0"/>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3" t="s">
        <v>1178</v>
      </c>
      <c r="B152" s="2174"/>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3" t="s">
        <v>996</v>
      </c>
      <c r="B175" s="2154"/>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53" t="s">
        <v>996</v>
      </c>
      <c r="B211" s="2154"/>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76423</v>
      </c>
      <c r="E217" s="616"/>
      <c r="F217" s="616"/>
      <c r="G217" s="616"/>
      <c r="H217" s="616"/>
      <c r="I217" s="616"/>
      <c r="J217" s="616"/>
      <c r="K217" s="1671">
        <f t="shared" si="19"/>
        <v>76423</v>
      </c>
      <c r="L217" s="466">
        <v>77300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8510</v>
      </c>
      <c r="E222" s="616"/>
      <c r="F222" s="616"/>
      <c r="G222" s="616"/>
      <c r="H222" s="616"/>
      <c r="I222" s="616"/>
      <c r="J222" s="616"/>
      <c r="K222" s="1671">
        <f t="shared" si="19"/>
        <v>8510</v>
      </c>
      <c r="L222" s="466">
        <v>17400</v>
      </c>
    </row>
    <row r="223" spans="1:14" x14ac:dyDescent="0.2">
      <c r="A223" s="1504" t="s">
        <v>963</v>
      </c>
      <c r="B223" s="614">
        <v>1500</v>
      </c>
      <c r="C223" s="616"/>
      <c r="D223" s="466">
        <v>3529</v>
      </c>
      <c r="E223" s="616"/>
      <c r="F223" s="616"/>
      <c r="G223" s="616"/>
      <c r="H223" s="616"/>
      <c r="I223" s="616"/>
      <c r="J223" s="616"/>
      <c r="K223" s="1671">
        <f t="shared" si="19"/>
        <v>3529</v>
      </c>
      <c r="L223" s="466">
        <v>3845</v>
      </c>
    </row>
    <row r="224" spans="1:14" x14ac:dyDescent="0.2">
      <c r="A224" s="1504" t="s">
        <v>964</v>
      </c>
      <c r="B224" s="614">
        <v>1600</v>
      </c>
      <c r="C224" s="616"/>
      <c r="D224" s="466">
        <v>3493</v>
      </c>
      <c r="E224" s="616"/>
      <c r="F224" s="616"/>
      <c r="G224" s="616"/>
      <c r="H224" s="616"/>
      <c r="I224" s="616"/>
      <c r="J224" s="616"/>
      <c r="K224" s="1671">
        <f t="shared" si="19"/>
        <v>3493</v>
      </c>
      <c r="L224" s="466">
        <v>5415</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91955</v>
      </c>
      <c r="E229" s="616"/>
      <c r="F229" s="616"/>
      <c r="G229" s="616"/>
      <c r="H229" s="616"/>
      <c r="I229" s="616"/>
      <c r="J229" s="616"/>
      <c r="K229" s="1670">
        <f>SUM(K215:K228)</f>
        <v>91955</v>
      </c>
      <c r="L229" s="1670">
        <f>SUM(L215:L228)</f>
        <v>103960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4862</v>
      </c>
      <c r="E232" s="616"/>
      <c r="F232" s="616"/>
      <c r="G232" s="616"/>
      <c r="H232" s="616"/>
      <c r="I232" s="616"/>
      <c r="J232" s="616"/>
      <c r="K232" s="1671">
        <f t="shared" ref="K232:K237" si="20">D232</f>
        <v>4862</v>
      </c>
      <c r="L232" s="466">
        <v>4400</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8780</v>
      </c>
      <c r="E234" s="616"/>
      <c r="F234" s="616"/>
      <c r="G234" s="616"/>
      <c r="H234" s="616"/>
      <c r="I234" s="616"/>
      <c r="J234" s="616"/>
      <c r="K234" s="1671">
        <f t="shared" si="20"/>
        <v>8780</v>
      </c>
      <c r="L234" s="466">
        <v>9350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13642</v>
      </c>
      <c r="E238" s="616"/>
      <c r="F238" s="616"/>
      <c r="G238" s="616"/>
      <c r="H238" s="616"/>
      <c r="I238" s="616"/>
      <c r="J238" s="616"/>
      <c r="K238" s="1670">
        <f>SUM(K232:K237)</f>
        <v>13642</v>
      </c>
      <c r="L238" s="1670">
        <f>SUM(L232:L237)</f>
        <v>13750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9019</v>
      </c>
      <c r="E246" s="616"/>
      <c r="F246" s="616"/>
      <c r="G246" s="616"/>
      <c r="H246" s="616"/>
      <c r="I246" s="616"/>
      <c r="J246" s="616"/>
      <c r="K246" s="1672">
        <f t="shared" ref="K246:K256" si="21">D246</f>
        <v>9019</v>
      </c>
      <c r="L246" s="466">
        <v>10459</v>
      </c>
    </row>
    <row r="247" spans="1:12" x14ac:dyDescent="0.2">
      <c r="A247" s="1504" t="s">
        <v>819</v>
      </c>
      <c r="B247" s="614">
        <v>2330</v>
      </c>
      <c r="C247" s="616"/>
      <c r="D247" s="466">
        <v>2667</v>
      </c>
      <c r="E247" s="616"/>
      <c r="F247" s="616"/>
      <c r="G247" s="616"/>
      <c r="H247" s="616"/>
      <c r="I247" s="616"/>
      <c r="J247" s="616"/>
      <c r="K247" s="1672">
        <f t="shared" si="21"/>
        <v>2667</v>
      </c>
      <c r="L247" s="466">
        <v>2500</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11686</v>
      </c>
      <c r="E257" s="616"/>
      <c r="F257" s="616"/>
      <c r="G257" s="616"/>
      <c r="H257" s="616"/>
      <c r="I257" s="616"/>
      <c r="J257" s="616"/>
      <c r="K257" s="1670">
        <f>SUM(K245:K256)</f>
        <v>11686</v>
      </c>
      <c r="L257" s="1670">
        <f>SUM(L245:L256)</f>
        <v>12959</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25328</v>
      </c>
      <c r="E279" s="616"/>
      <c r="F279" s="616"/>
      <c r="G279" s="616"/>
      <c r="H279" s="616"/>
      <c r="I279" s="616"/>
      <c r="J279" s="616"/>
      <c r="K279" s="1677">
        <f>SUM(K238,K243,K257,K261,K270,K277,K278)</f>
        <v>25328</v>
      </c>
      <c r="L279" s="1677">
        <f>SUM(L238,L243,L257,L261,L270,L277,L278)</f>
        <v>26709</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70">
        <f>SUM(D229,D279,D280,D285)</f>
        <v>117283</v>
      </c>
      <c r="E295" s="616"/>
      <c r="F295" s="616"/>
      <c r="G295" s="616"/>
      <c r="H295" s="1670">
        <f>H293</f>
        <v>0</v>
      </c>
      <c r="I295" s="616"/>
      <c r="J295" s="616"/>
      <c r="K295" s="1670">
        <f>SUM(K229,K279,K280,K285,K293,K294)</f>
        <v>117283</v>
      </c>
      <c r="L295" s="1670">
        <f>SUM(L229,L279,L280,L285,L293,L294)</f>
        <v>130669</v>
      </c>
    </row>
    <row r="296" spans="1:14" ht="13.5" thickTop="1" x14ac:dyDescent="0.2">
      <c r="A296" s="2153" t="s">
        <v>996</v>
      </c>
      <c r="B296" s="2154"/>
      <c r="C296" s="616"/>
      <c r="D296" s="618"/>
      <c r="E296" s="616"/>
      <c r="F296" s="616"/>
      <c r="G296" s="616"/>
      <c r="H296" s="687"/>
      <c r="I296" s="616"/>
      <c r="J296" s="616"/>
      <c r="K296" s="1684">
        <f>'Revenues 9-14'!G268-'Expenditures 15-22'!K295</f>
        <v>717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6" t="s">
        <v>996</v>
      </c>
      <c r="B343" s="2167"/>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3" t="s">
        <v>996</v>
      </c>
      <c r="B368" s="2154"/>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1802</v>
      </c>
      <c r="B2" s="1528" t="s">
        <v>1951</v>
      </c>
      <c r="C2" s="714" t="s">
        <v>1952</v>
      </c>
      <c r="D2" s="714" t="s">
        <v>1953</v>
      </c>
      <c r="E2" s="714" t="s">
        <v>1954</v>
      </c>
      <c r="F2" s="714" t="s">
        <v>1955</v>
      </c>
    </row>
    <row r="3" spans="1:6" ht="12" customHeight="1" x14ac:dyDescent="0.2">
      <c r="A3" s="2181"/>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629</v>
      </c>
      <c r="B1" s="2200"/>
      <c r="C1" s="721"/>
    </row>
    <row r="2" spans="1:7" ht="33.75" x14ac:dyDescent="0.2">
      <c r="A2" s="2207" t="s">
        <v>1802</v>
      </c>
      <c r="B2" s="2208"/>
      <c r="C2" s="1884" t="s">
        <v>1956</v>
      </c>
      <c r="D2" s="723" t="s">
        <v>1957</v>
      </c>
      <c r="E2" s="723" t="s">
        <v>1958</v>
      </c>
      <c r="F2" s="1884" t="s">
        <v>1959</v>
      </c>
    </row>
    <row r="3" spans="1:7" ht="15.75" customHeight="1" x14ac:dyDescent="0.2">
      <c r="A3" s="2209" t="s">
        <v>1114</v>
      </c>
      <c r="B3" s="2210"/>
      <c r="C3" s="2203"/>
      <c r="D3" s="2204"/>
      <c r="E3" s="2204"/>
      <c r="F3" s="2205"/>
    </row>
    <row r="4" spans="1:7" ht="12.75" customHeight="1" thickBot="1" x14ac:dyDescent="0.25">
      <c r="A4" s="2197" t="s">
        <v>630</v>
      </c>
      <c r="B4" s="2198"/>
      <c r="C4" s="581"/>
      <c r="D4" s="581"/>
      <c r="E4" s="581"/>
      <c r="F4" s="1755">
        <f>SUM(C4+D4)-E4</f>
        <v>0</v>
      </c>
    </row>
    <row r="5" spans="1:7" ht="15.75" customHeight="1" thickTop="1" x14ac:dyDescent="0.2">
      <c r="A5" s="2201" t="s">
        <v>1110</v>
      </c>
      <c r="B5" s="2196"/>
      <c r="C5" s="2190"/>
      <c r="D5" s="2191"/>
      <c r="E5" s="2191"/>
      <c r="F5" s="219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3" t="s">
        <v>631</v>
      </c>
      <c r="B15" s="2194"/>
      <c r="C15" s="1755">
        <f>SUM(C6:C14)</f>
        <v>0</v>
      </c>
      <c r="D15" s="1755">
        <f>SUM(D6:D14)</f>
        <v>0</v>
      </c>
      <c r="E15" s="1755">
        <f>SUM(E6:E14)</f>
        <v>0</v>
      </c>
      <c r="F15" s="1755">
        <f>SUM(F6:F14)</f>
        <v>0</v>
      </c>
      <c r="G15" s="552"/>
    </row>
    <row r="16" spans="1:7" s="202" customFormat="1" ht="15.75" customHeight="1" thickTop="1" x14ac:dyDescent="0.2">
      <c r="A16" s="2206" t="s">
        <v>1111</v>
      </c>
      <c r="B16" s="2196"/>
      <c r="C16" s="2190"/>
      <c r="D16" s="2191"/>
      <c r="E16" s="2191"/>
      <c r="F16" s="2192"/>
    </row>
    <row r="17" spans="1:11" ht="12.75" customHeight="1" thickBot="1" x14ac:dyDescent="0.25">
      <c r="A17" s="2188" t="s">
        <v>64</v>
      </c>
      <c r="B17" s="2189"/>
      <c r="C17" s="726"/>
      <c r="D17" s="585"/>
      <c r="E17" s="726"/>
      <c r="F17" s="1755">
        <f>SUM(C17+D17)-E17</f>
        <v>0</v>
      </c>
    </row>
    <row r="18" spans="1:11" ht="12.75" customHeight="1" thickTop="1" thickBot="1" x14ac:dyDescent="0.25">
      <c r="A18" s="2188" t="s">
        <v>6</v>
      </c>
      <c r="B18" s="2189"/>
      <c r="C18" s="726"/>
      <c r="D18" s="585"/>
      <c r="E18" s="726"/>
      <c r="F18" s="1755">
        <f>SUM(C18+D18)-E18</f>
        <v>0</v>
      </c>
    </row>
    <row r="19" spans="1:11" ht="12.75" customHeight="1" thickTop="1" thickBot="1" x14ac:dyDescent="0.25">
      <c r="A19" s="2188" t="s">
        <v>388</v>
      </c>
      <c r="B19" s="2189"/>
      <c r="C19" s="726"/>
      <c r="D19" s="585"/>
      <c r="E19" s="726"/>
      <c r="F19" s="1755">
        <f>SUM(C19+D19)-E19</f>
        <v>0</v>
      </c>
    </row>
    <row r="20" spans="1:11" ht="12.75" customHeight="1" thickTop="1" thickBot="1" x14ac:dyDescent="0.25">
      <c r="A20" s="2188" t="s">
        <v>448</v>
      </c>
      <c r="B20" s="2189"/>
      <c r="C20" s="726"/>
      <c r="D20" s="585"/>
      <c r="E20" s="726"/>
      <c r="F20" s="1755">
        <f>SUM(C20+D20)-E20</f>
        <v>0</v>
      </c>
    </row>
    <row r="21" spans="1:11" ht="14.25" thickTop="1" thickBot="1" x14ac:dyDescent="0.25">
      <c r="A21" s="2193" t="s">
        <v>632</v>
      </c>
      <c r="B21" s="2194"/>
      <c r="C21" s="1755">
        <f>SUM(C17:C20)</f>
        <v>0</v>
      </c>
      <c r="D21" s="1755">
        <f>SUM(D17:D20)</f>
        <v>0</v>
      </c>
      <c r="E21" s="1755">
        <f>SUM(E17:E20)</f>
        <v>0</v>
      </c>
      <c r="F21" s="1755">
        <f>SUM(F17:F20)</f>
        <v>0</v>
      </c>
      <c r="G21" s="552"/>
    </row>
    <row r="22" spans="1:11" ht="15.75" customHeight="1" thickTop="1" x14ac:dyDescent="0.2">
      <c r="A22" s="2195" t="s">
        <v>1112</v>
      </c>
      <c r="B22" s="2196"/>
      <c r="C22" s="2190"/>
      <c r="D22" s="2191"/>
      <c r="E22" s="2191"/>
      <c r="F22" s="2192"/>
    </row>
    <row r="23" spans="1:11" ht="13.5" thickBot="1" x14ac:dyDescent="0.25">
      <c r="A23" s="2197" t="s">
        <v>633</v>
      </c>
      <c r="B23" s="2198"/>
      <c r="C23" s="581"/>
      <c r="D23" s="581"/>
      <c r="E23" s="581"/>
      <c r="F23" s="1755">
        <f>SUM(C23+D23)-E23</f>
        <v>0</v>
      </c>
      <c r="G23" s="552"/>
    </row>
    <row r="24" spans="1:11" ht="15.75" customHeight="1" thickTop="1" x14ac:dyDescent="0.2">
      <c r="A24" s="2195" t="s">
        <v>1113</v>
      </c>
      <c r="B24" s="2196"/>
      <c r="C24" s="2190"/>
      <c r="D24" s="2191"/>
      <c r="E24" s="2191"/>
      <c r="F24" s="2192"/>
    </row>
    <row r="25" spans="1:11" ht="13.5" thickBot="1" x14ac:dyDescent="0.25">
      <c r="A25" s="2197" t="s">
        <v>634</v>
      </c>
      <c r="B25" s="2198"/>
      <c r="C25" s="581"/>
      <c r="D25" s="581"/>
      <c r="E25" s="581"/>
      <c r="F25" s="1755">
        <f>SUM(C25+D25)-E25</f>
        <v>0</v>
      </c>
      <c r="G25" s="552"/>
    </row>
    <row r="26" spans="1:11" ht="15.75" customHeight="1" thickTop="1" x14ac:dyDescent="0.2">
      <c r="A26" s="2201" t="s">
        <v>657</v>
      </c>
      <c r="B26" s="2196"/>
      <c r="C26" s="727"/>
      <c r="D26" s="727"/>
      <c r="E26" s="727"/>
      <c r="F26" s="728"/>
    </row>
    <row r="27" spans="1:11" ht="13.5" thickBot="1" x14ac:dyDescent="0.25">
      <c r="A27" s="2193" t="s">
        <v>1070</v>
      </c>
      <c r="B27" s="2194"/>
      <c r="C27" s="585"/>
      <c r="D27" s="585"/>
      <c r="E27" s="585"/>
      <c r="F27" s="1755">
        <f>SUM(C27+D27)-E27</f>
        <v>0</v>
      </c>
      <c r="G27" s="552"/>
    </row>
    <row r="28" spans="1:11" ht="7.5" customHeight="1" thickTop="1" x14ac:dyDescent="0.2">
      <c r="A28" s="593"/>
    </row>
    <row r="29" spans="1:11" ht="23.25" customHeight="1" x14ac:dyDescent="0.2">
      <c r="A29" s="2199" t="s">
        <v>582</v>
      </c>
      <c r="B29" s="2200"/>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2" t="s">
        <v>584</v>
      </c>
      <c r="C52" s="2183"/>
      <c r="D52" s="2183"/>
      <c r="E52" s="749" t="s">
        <v>845</v>
      </c>
      <c r="F52" s="2184"/>
      <c r="G52" s="2185"/>
      <c r="H52" s="736"/>
      <c r="I52" s="736"/>
      <c r="J52" s="746"/>
    </row>
    <row r="53" spans="1:11" ht="11.25" customHeight="1" x14ac:dyDescent="0.2">
      <c r="A53" s="750" t="s">
        <v>913</v>
      </c>
      <c r="B53" s="751" t="s">
        <v>951</v>
      </c>
      <c r="C53" s="746"/>
      <c r="D53" s="737"/>
      <c r="E53" s="749" t="s">
        <v>497</v>
      </c>
      <c r="F53" s="2186"/>
      <c r="G53" s="2187"/>
      <c r="H53" s="736"/>
      <c r="I53" s="736"/>
      <c r="J53" s="746"/>
    </row>
    <row r="54" spans="1:11" ht="11.25" customHeight="1" x14ac:dyDescent="0.2">
      <c r="A54" s="752" t="s">
        <v>914</v>
      </c>
      <c r="B54" s="747" t="s">
        <v>952</v>
      </c>
      <c r="C54" s="746"/>
      <c r="D54" s="737"/>
      <c r="E54" s="749" t="s">
        <v>498</v>
      </c>
      <c r="F54" s="2186"/>
      <c r="G54" s="218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856</v>
      </c>
      <c r="B1" s="2212"/>
      <c r="C1" s="2212"/>
      <c r="D1" s="2212"/>
      <c r="E1" s="2212"/>
      <c r="F1" s="2212"/>
      <c r="G1" s="2213"/>
      <c r="H1" s="1530"/>
      <c r="I1" s="760"/>
      <c r="J1" s="433"/>
    </row>
    <row r="2" spans="1:11" ht="26.25" x14ac:dyDescent="0.2">
      <c r="A2" s="2230" t="s">
        <v>1677</v>
      </c>
      <c r="B2" s="2231"/>
      <c r="C2" s="2231"/>
      <c r="D2" s="2231"/>
      <c r="E2" s="2232"/>
      <c r="F2" s="761" t="s">
        <v>904</v>
      </c>
      <c r="G2" s="762" t="s">
        <v>1674</v>
      </c>
      <c r="H2" s="762" t="s">
        <v>410</v>
      </c>
      <c r="I2" s="762" t="s">
        <v>1158</v>
      </c>
      <c r="J2" s="762" t="s">
        <v>1812</v>
      </c>
      <c r="K2" s="762" t="s">
        <v>138</v>
      </c>
    </row>
    <row r="3" spans="1:11" x14ac:dyDescent="0.2">
      <c r="A3" s="2233" t="s">
        <v>1964</v>
      </c>
      <c r="B3" s="2234"/>
      <c r="C3" s="2234"/>
      <c r="D3" s="2234"/>
      <c r="E3" s="2235"/>
      <c r="F3" s="763"/>
      <c r="G3" s="764"/>
      <c r="H3" s="764"/>
      <c r="I3" s="764"/>
      <c r="J3" s="765"/>
      <c r="K3" s="765"/>
    </row>
    <row r="4" spans="1:11" x14ac:dyDescent="0.2">
      <c r="A4" s="2236" t="s">
        <v>369</v>
      </c>
      <c r="B4" s="2237"/>
      <c r="C4" s="2237"/>
      <c r="D4" s="2237"/>
      <c r="E4" s="2183"/>
      <c r="F4" s="766"/>
      <c r="G4" s="767"/>
      <c r="H4" s="768"/>
      <c r="I4" s="767"/>
      <c r="J4" s="769"/>
      <c r="K4" s="769"/>
    </row>
    <row r="5" spans="1:11" x14ac:dyDescent="0.2">
      <c r="A5" s="2214" t="s">
        <v>1069</v>
      </c>
      <c r="B5" s="2215"/>
      <c r="C5" s="2215"/>
      <c r="D5" s="2215"/>
      <c r="E5" s="2216"/>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4" t="s">
        <v>1813</v>
      </c>
      <c r="B10" s="2215"/>
      <c r="C10" s="2215"/>
      <c r="D10" s="2215"/>
      <c r="E10" s="2217"/>
      <c r="F10" s="783" t="s">
        <v>862</v>
      </c>
      <c r="G10" s="782"/>
      <c r="H10" s="784"/>
      <c r="I10" s="764"/>
      <c r="J10" s="765"/>
      <c r="K10" s="765"/>
    </row>
    <row r="11" spans="1:11" x14ac:dyDescent="0.2">
      <c r="A11" s="2214" t="s">
        <v>160</v>
      </c>
      <c r="B11" s="2215"/>
      <c r="C11" s="2215"/>
      <c r="D11" s="2215"/>
      <c r="E11" s="2216"/>
      <c r="F11" s="770" t="s">
        <v>852</v>
      </c>
      <c r="G11" s="771"/>
      <c r="H11" s="764"/>
      <c r="I11" s="764"/>
      <c r="J11" s="765"/>
      <c r="K11" s="773"/>
    </row>
    <row r="12" spans="1:11" ht="13.5" thickBot="1" x14ac:dyDescent="0.25">
      <c r="A12" s="2241" t="s">
        <v>905</v>
      </c>
      <c r="B12" s="2242"/>
      <c r="C12" s="2242"/>
      <c r="D12" s="2242"/>
      <c r="E12" s="2243"/>
      <c r="F12" s="1757"/>
      <c r="G12" s="1758">
        <f>SUM(G5:G11)</f>
        <v>0</v>
      </c>
      <c r="H12" s="1758">
        <f>SUM(H5:H11)</f>
        <v>0</v>
      </c>
      <c r="I12" s="1758">
        <f>SUM(I5:I11)</f>
        <v>0</v>
      </c>
      <c r="J12" s="1758">
        <f>SUM(J5:J11)</f>
        <v>0</v>
      </c>
      <c r="K12" s="1758">
        <f>SUM(K5:K11)</f>
        <v>0</v>
      </c>
    </row>
    <row r="13" spans="1:11" ht="13.5" thickTop="1" x14ac:dyDescent="0.2">
      <c r="A13" s="2238" t="s">
        <v>370</v>
      </c>
      <c r="B13" s="2239"/>
      <c r="C13" s="2239"/>
      <c r="D13" s="2239"/>
      <c r="E13" s="2240"/>
      <c r="F13" s="785"/>
      <c r="G13" s="786"/>
      <c r="H13" s="787"/>
      <c r="I13" s="788"/>
      <c r="J13" s="788"/>
      <c r="K13" s="788"/>
    </row>
    <row r="14" spans="1:11" x14ac:dyDescent="0.2">
      <c r="A14" s="2221" t="s">
        <v>456</v>
      </c>
      <c r="B14" s="2221"/>
      <c r="C14" s="2221"/>
      <c r="D14" s="2221"/>
      <c r="E14" s="2222"/>
      <c r="F14" s="789" t="s">
        <v>854</v>
      </c>
      <c r="G14" s="782"/>
      <c r="H14" s="764"/>
      <c r="I14" s="771"/>
      <c r="J14" s="773"/>
      <c r="K14" s="765"/>
    </row>
    <row r="15" spans="1:11" x14ac:dyDescent="0.2">
      <c r="A15" s="2215" t="s">
        <v>4</v>
      </c>
      <c r="B15" s="2215"/>
      <c r="C15" s="2215"/>
      <c r="D15" s="2215"/>
      <c r="E15" s="2216"/>
      <c r="F15" s="789" t="s">
        <v>855</v>
      </c>
      <c r="G15" s="771"/>
      <c r="H15" s="764"/>
      <c r="I15" s="764"/>
      <c r="J15" s="765"/>
      <c r="K15" s="765"/>
    </row>
    <row r="16" spans="1:11" x14ac:dyDescent="0.2">
      <c r="A16" s="2215" t="s">
        <v>298</v>
      </c>
      <c r="B16" s="2215"/>
      <c r="C16" s="2215"/>
      <c r="D16" s="2215"/>
      <c r="E16" s="2216"/>
      <c r="F16" s="789" t="s">
        <v>923</v>
      </c>
      <c r="G16" s="772"/>
      <c r="H16" s="767"/>
      <c r="I16" s="767"/>
      <c r="J16" s="769"/>
      <c r="K16" s="769"/>
    </row>
    <row r="17" spans="1:11" x14ac:dyDescent="0.2">
      <c r="A17" s="2246" t="s">
        <v>935</v>
      </c>
      <c r="B17" s="2246"/>
      <c r="C17" s="2246"/>
      <c r="D17" s="2246"/>
      <c r="E17" s="2247"/>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23" t="s">
        <v>1809</v>
      </c>
      <c r="B19" s="2223"/>
      <c r="C19" s="2223"/>
      <c r="D19" s="2223"/>
      <c r="E19" s="2224"/>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44" t="s">
        <v>638</v>
      </c>
      <c r="B21" s="2244"/>
      <c r="C21" s="2244"/>
      <c r="D21" s="2244"/>
      <c r="E21" s="2244"/>
      <c r="F21" s="1759"/>
      <c r="G21" s="792"/>
      <c r="H21" s="796"/>
      <c r="I21" s="796"/>
      <c r="J21" s="1760">
        <f>SUM(J18:J20)</f>
        <v>0</v>
      </c>
      <c r="K21" s="793"/>
    </row>
    <row r="22" spans="1:11" ht="13.5" thickTop="1" x14ac:dyDescent="0.2">
      <c r="A22" s="2215" t="s">
        <v>1815</v>
      </c>
      <c r="B22" s="2215"/>
      <c r="C22" s="2215"/>
      <c r="D22" s="2215"/>
      <c r="E22" s="2216"/>
      <c r="F22" s="789" t="s">
        <v>862</v>
      </c>
      <c r="G22" s="782"/>
      <c r="H22" s="764"/>
      <c r="I22" s="764"/>
      <c r="J22" s="797"/>
      <c r="K22" s="765"/>
    </row>
    <row r="23" spans="1:11" ht="13.5" thickBot="1" x14ac:dyDescent="0.25">
      <c r="A23" s="2245" t="s">
        <v>906</v>
      </c>
      <c r="B23" s="2244"/>
      <c r="C23" s="2244"/>
      <c r="D23" s="2244"/>
      <c r="E23" s="2244"/>
      <c r="F23" s="1761"/>
      <c r="G23" s="1758">
        <f>SUM(G14:G16,G21,G22)</f>
        <v>0</v>
      </c>
      <c r="H23" s="1758">
        <f>SUM(H14:H16,H21,H22)</f>
        <v>0</v>
      </c>
      <c r="I23" s="1758">
        <f>SUM(I14:I16,I21,I22)</f>
        <v>0</v>
      </c>
      <c r="J23" s="1758">
        <f>SUM(J14:J16,J21,J22)</f>
        <v>0</v>
      </c>
      <c r="K23" s="1758">
        <f>SUM(K14:K16,K21,K22)</f>
        <v>0</v>
      </c>
    </row>
    <row r="24" spans="1:11" ht="14.25" thickTop="1" thickBot="1" x14ac:dyDescent="0.25">
      <c r="A24" s="2245" t="s">
        <v>1965</v>
      </c>
      <c r="B24" s="2244"/>
      <c r="C24" s="2244"/>
      <c r="D24" s="2244"/>
      <c r="E24" s="224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8"/>
      <c r="I31" s="2219"/>
      <c r="J31" s="2219"/>
      <c r="K31" s="2219"/>
    </row>
    <row r="32" spans="1:11" x14ac:dyDescent="0.2">
      <c r="A32" s="809"/>
      <c r="B32" s="237"/>
      <c r="C32" s="237"/>
      <c r="D32" s="237"/>
      <c r="E32" s="805"/>
      <c r="F32" s="811" t="s">
        <v>540</v>
      </c>
      <c r="G32" s="764"/>
      <c r="H32" s="2220"/>
      <c r="I32" s="2219"/>
      <c r="J32" s="2219"/>
      <c r="K32" s="2219"/>
    </row>
    <row r="33" spans="1:11" ht="1.5" customHeight="1" x14ac:dyDescent="0.2">
      <c r="A33" s="812" t="s">
        <v>1169</v>
      </c>
      <c r="B33" s="364"/>
      <c r="C33" s="364"/>
      <c r="D33" s="364"/>
      <c r="E33" s="364"/>
      <c r="F33" s="364"/>
      <c r="G33" s="813"/>
      <c r="H33" s="2220"/>
      <c r="I33" s="2219"/>
      <c r="J33" s="2219"/>
      <c r="K33" s="221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28"/>
      <c r="C41" s="2228"/>
      <c r="D41" s="2228"/>
      <c r="E41" s="2228"/>
      <c r="F41" s="222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1909</v>
      </c>
      <c r="B1" s="2251"/>
      <c r="C1" s="2252"/>
      <c r="D1" s="826"/>
      <c r="E1" s="827"/>
      <c r="F1" s="827"/>
      <c r="G1" s="828"/>
      <c r="H1" s="829"/>
      <c r="I1" s="830"/>
      <c r="J1" s="2248"/>
      <c r="K1" s="2249"/>
      <c r="L1" s="2249"/>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c r="D12" s="844"/>
      <c r="E12" s="844"/>
      <c r="F12" s="1760">
        <f>(C12+D12)-E12</f>
        <v>0</v>
      </c>
      <c r="G12" s="843">
        <v>10</v>
      </c>
      <c r="H12" s="765"/>
      <c r="I12" s="765"/>
      <c r="J12" s="765"/>
      <c r="K12" s="1769">
        <f>(H12+I12)-J12</f>
        <v>0</v>
      </c>
      <c r="L12" s="1769">
        <f>F12-K12</f>
        <v>0</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0</v>
      </c>
      <c r="D16" s="1760">
        <f>SUM(D3,D5:D6,D8:D10,D12:D15)</f>
        <v>0</v>
      </c>
      <c r="E16" s="1760">
        <f>SUM(E3,E5:E6,E8:E10,E12:E15)</f>
        <v>0</v>
      </c>
      <c r="F16" s="1760">
        <f>SUM(F3,F5:F6,F8:F10,F12:F15)</f>
        <v>0</v>
      </c>
      <c r="G16" s="843"/>
      <c r="H16" s="1760">
        <f>SUM(H3,H6,H8:H10,H12:H14,)</f>
        <v>0</v>
      </c>
      <c r="I16" s="1760">
        <f>SUM(I3,I6,I8:I10,I12:I14,)</f>
        <v>0</v>
      </c>
      <c r="J16" s="1760">
        <f>SUM(J3,J6,J8:J10,J12:J14,)</f>
        <v>0</v>
      </c>
      <c r="K16" s="1760">
        <f>(H16+I16)-J16</f>
        <v>0</v>
      </c>
      <c r="L16" s="1760">
        <f>F16-K16</f>
        <v>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22931</v>
      </c>
      <c r="G17" s="837">
        <v>10</v>
      </c>
      <c r="H17" s="769"/>
      <c r="I17" s="1769">
        <f>F17/G17</f>
        <v>2293.1</v>
      </c>
      <c r="J17" s="769"/>
      <c r="K17" s="795"/>
      <c r="L17" s="795"/>
    </row>
    <row r="18" spans="1:12" ht="14.25" thickTop="1" thickBot="1" x14ac:dyDescent="0.25">
      <c r="A18" s="1767" t="s">
        <v>685</v>
      </c>
      <c r="B18" s="1768"/>
      <c r="C18" s="771"/>
      <c r="D18" s="771"/>
      <c r="E18" s="771"/>
      <c r="F18" s="850"/>
      <c r="G18" s="851"/>
      <c r="H18" s="773"/>
      <c r="I18" s="1760">
        <f>SUM(I16,I17)</f>
        <v>2293.1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1975</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3680794</v>
      </c>
      <c r="G8" s="865"/>
    </row>
    <row r="9" spans="1:7" x14ac:dyDescent="0.2">
      <c r="A9" s="869" t="s">
        <v>460</v>
      </c>
      <c r="B9" s="870" t="s">
        <v>1877</v>
      </c>
      <c r="C9" s="871"/>
      <c r="D9" s="869" t="s">
        <v>501</v>
      </c>
      <c r="E9" s="868"/>
      <c r="F9" s="1909">
        <f>'Expenditures 15-22'!K151</f>
        <v>0</v>
      </c>
      <c r="G9" s="872"/>
    </row>
    <row r="10" spans="1:7" x14ac:dyDescent="0.2">
      <c r="A10" s="869" t="s">
        <v>499</v>
      </c>
      <c r="B10" s="870" t="s">
        <v>1878</v>
      </c>
      <c r="C10" s="871"/>
      <c r="D10" s="869" t="s">
        <v>501</v>
      </c>
      <c r="E10" s="868"/>
      <c r="F10" s="1909">
        <f>'Expenditures 15-22'!K174</f>
        <v>0</v>
      </c>
      <c r="G10" s="872"/>
    </row>
    <row r="11" spans="1:7" x14ac:dyDescent="0.2">
      <c r="A11" s="869" t="s">
        <v>461</v>
      </c>
      <c r="B11" s="870" t="s">
        <v>1879</v>
      </c>
      <c r="C11" s="871"/>
      <c r="D11" s="869" t="s">
        <v>501</v>
      </c>
      <c r="E11" s="868"/>
      <c r="F11" s="1909">
        <f>'Expenditures 15-22'!K210</f>
        <v>0</v>
      </c>
      <c r="G11" s="872"/>
    </row>
    <row r="12" spans="1:7" x14ac:dyDescent="0.2">
      <c r="A12" s="869" t="s">
        <v>462</v>
      </c>
      <c r="B12" s="870" t="s">
        <v>1880</v>
      </c>
      <c r="C12" s="871"/>
      <c r="D12" s="869" t="s">
        <v>501</v>
      </c>
      <c r="E12" s="868"/>
      <c r="F12" s="1909">
        <f>'Expenditures 15-22'!K295</f>
        <v>117283</v>
      </c>
      <c r="G12" s="872"/>
    </row>
    <row r="13" spans="1:7" x14ac:dyDescent="0.2">
      <c r="A13" s="869" t="s">
        <v>106</v>
      </c>
      <c r="B13" s="870" t="s">
        <v>1881</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3798077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58782</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700220</v>
      </c>
      <c r="G53" s="865"/>
    </row>
    <row r="54" spans="1:7" x14ac:dyDescent="0.2">
      <c r="A54" s="869" t="s">
        <v>459</v>
      </c>
      <c r="B54" s="869" t="s">
        <v>1476</v>
      </c>
      <c r="C54" s="889" t="s">
        <v>982</v>
      </c>
      <c r="D54" s="885" t="s">
        <v>1095</v>
      </c>
      <c r="E54" s="868"/>
      <c r="F54" s="1913">
        <f>'Expenditures 15-22'!G114</f>
        <v>63306</v>
      </c>
      <c r="G54" s="865"/>
    </row>
    <row r="55" spans="1:7" x14ac:dyDescent="0.2">
      <c r="A55" s="869" t="s">
        <v>459</v>
      </c>
      <c r="B55" s="869" t="s">
        <v>1477</v>
      </c>
      <c r="C55" s="889" t="s">
        <v>982</v>
      </c>
      <c r="D55" s="885" t="s">
        <v>291</v>
      </c>
      <c r="E55" s="868"/>
      <c r="F55" s="1913">
        <f>'Expenditures 15-22'!I114</f>
        <v>22931</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3493</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848732</v>
      </c>
      <c r="G76" s="865"/>
    </row>
    <row r="77" spans="1:8" s="893" customFormat="1" ht="12" customHeight="1" thickTop="1" thickBot="1" x14ac:dyDescent="0.25">
      <c r="A77" s="1779"/>
      <c r="B77" s="1776"/>
      <c r="C77" s="1772"/>
      <c r="D77" s="1777" t="s">
        <v>1900</v>
      </c>
      <c r="E77" s="1774"/>
      <c r="F77" s="1780">
        <f>(F14-F76)</f>
        <v>2949345</v>
      </c>
      <c r="G77" s="869"/>
    </row>
    <row r="78" spans="1:8" s="893" customFormat="1" ht="12" customHeight="1" thickTop="1" x14ac:dyDescent="0.2">
      <c r="A78" s="1781"/>
      <c r="B78" s="1776"/>
      <c r="C78" s="1772"/>
      <c r="D78" s="1777" t="s">
        <v>2062</v>
      </c>
      <c r="E78" s="1774"/>
      <c r="F78" s="898">
        <v>0</v>
      </c>
      <c r="G78" s="899"/>
      <c r="H78" s="869"/>
    </row>
    <row r="79" spans="1:8" s="893" customFormat="1" ht="12" customHeight="1" thickBot="1" x14ac:dyDescent="0.25">
      <c r="A79" s="1782"/>
      <c r="B79" s="1776"/>
      <c r="C79" s="1772"/>
      <c r="D79" s="1777" t="s">
        <v>1901</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0</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38648</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0</v>
      </c>
      <c r="G125" s="930"/>
    </row>
    <row r="126" spans="1:7" x14ac:dyDescent="0.2">
      <c r="A126" s="927" t="s">
        <v>668</v>
      </c>
      <c r="B126" s="927" t="s">
        <v>2024</v>
      </c>
      <c r="C126" s="932">
        <v>4300</v>
      </c>
      <c r="D126" s="933" t="str">
        <f>'Revenues 9-14'!A204</f>
        <v>Total Title I</v>
      </c>
      <c r="E126" s="906"/>
      <c r="F126" s="1789">
        <f>SUM('Revenues 9-14'!C204,'Revenues 9-14'!D204,'Revenues 9-14'!F204,'Revenues 9-14'!G204)</f>
        <v>0</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703616</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23814</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120918</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886996</v>
      </c>
    </row>
    <row r="175" spans="1:7" ht="12" customHeight="1" x14ac:dyDescent="0.2">
      <c r="A175" s="1770"/>
      <c r="B175" s="1784"/>
      <c r="C175" s="1785"/>
      <c r="D175" s="1786" t="s">
        <v>2057</v>
      </c>
      <c r="E175" s="1787"/>
      <c r="F175" s="1789">
        <f>'PCTC-OEPP 27-28'!F77-F174</f>
        <v>2062349</v>
      </c>
    </row>
    <row r="176" spans="1:7" ht="12" customHeight="1" x14ac:dyDescent="0.2">
      <c r="A176" s="1770"/>
      <c r="B176" s="1784"/>
      <c r="C176" s="1785"/>
      <c r="D176" s="1786" t="s">
        <v>1817</v>
      </c>
      <c r="E176" s="1787"/>
      <c r="F176" s="1789">
        <f>'Cap Outlay Deprec 26'!I18</f>
        <v>2293.1</v>
      </c>
    </row>
    <row r="177" spans="1:7" ht="12" customHeight="1" x14ac:dyDescent="0.2">
      <c r="A177" s="1770"/>
      <c r="B177" s="1784"/>
      <c r="C177" s="1785"/>
      <c r="D177" s="1786" t="s">
        <v>2058</v>
      </c>
      <c r="E177" s="1787"/>
      <c r="F177" s="1789">
        <f>F175+F176</f>
        <v>2064642.1</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2059</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1932</v>
      </c>
      <c r="B7" s="2274"/>
      <c r="C7" s="2274"/>
      <c r="D7" s="2274"/>
      <c r="E7" s="2274"/>
      <c r="F7" s="2274"/>
      <c r="G7" s="2275"/>
    </row>
    <row r="8" spans="1:7" ht="15.75" customHeight="1" x14ac:dyDescent="0.25">
      <c r="A8" s="2276" t="s">
        <v>1907</v>
      </c>
      <c r="B8" s="2277"/>
      <c r="C8" s="2277"/>
      <c r="D8" s="2277"/>
      <c r="E8" s="2277"/>
      <c r="F8" s="2277"/>
      <c r="G8" s="2278"/>
    </row>
    <row r="9" spans="1:7" ht="35.25" customHeight="1" x14ac:dyDescent="0.25">
      <c r="A9" s="2273" t="s">
        <v>1935</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1934</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1976</v>
      </c>
      <c r="B13" s="2265"/>
      <c r="C13" s="2265"/>
      <c r="D13" s="2265"/>
      <c r="E13" s="2265"/>
      <c r="F13" s="2265"/>
      <c r="G13" s="226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656"/>
      <c r="D17" s="1844"/>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c r="C18" s="1656"/>
      <c r="D18" s="1844"/>
      <c r="E18" s="1540">
        <f t="shared" ref="E18:E140" si="2">IF(D18&lt;=25000,D18,IF(D18&gt;25000,25000,0))</f>
        <v>0</v>
      </c>
      <c r="F18" s="1933">
        <f t="shared" si="1"/>
        <v>0</v>
      </c>
      <c r="G18" s="1793">
        <f t="shared" ref="G18:G140" si="3">IF(F18=0,0,D18-F18)</f>
        <v>0</v>
      </c>
    </row>
    <row r="19" spans="1:8" x14ac:dyDescent="0.25">
      <c r="A19" s="1653"/>
      <c r="B19" s="1935"/>
      <c r="C19" s="1656"/>
      <c r="D19" s="1844"/>
      <c r="E19" s="1540">
        <f t="shared" si="2"/>
        <v>0</v>
      </c>
      <c r="F19" s="1933">
        <f t="shared" si="1"/>
        <v>0</v>
      </c>
      <c r="G19" s="1793">
        <f t="shared" si="3"/>
        <v>0</v>
      </c>
    </row>
    <row r="20" spans="1:8" x14ac:dyDescent="0.25">
      <c r="A20" s="1653"/>
      <c r="B20" s="1935"/>
      <c r="C20" s="1656"/>
      <c r="D20" s="1844"/>
      <c r="E20" s="1540">
        <f t="shared" si="2"/>
        <v>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0</v>
      </c>
      <c r="E141" s="1541">
        <f t="shared" si="0"/>
        <v>0</v>
      </c>
      <c r="F141" s="1934">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84" t="s">
        <v>1977</v>
      </c>
      <c r="B11" s="2285"/>
      <c r="C11" s="2285"/>
      <c r="D11" s="228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1376039</v>
      </c>
      <c r="F19" s="1799"/>
      <c r="G19" s="1801">
        <f>'Expenditures 15-22'!K33-SUM('Expenditures 15-22'!G33,'Expenditures 15-22'!I33)+'Expenditures 15-22'!D229</f>
        <v>1376039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1124586</v>
      </c>
      <c r="F21" s="1802"/>
      <c r="G21" s="1805">
        <f>'Expenditures 15-22'!K42-SUM('Expenditures 15-22'!G42,'Expenditures 15-22'!I42)+'Expenditures 15-22'!K120-SUM('Expenditures 15-22'!G120,'Expenditures 15-22'!I120)+'Expenditures 15-22'!K180-SUM('Expenditures 15-22'!G180,'Expenditures 15-22'!I180)+'Expenditures 15-22'!D238</f>
        <v>1124586</v>
      </c>
      <c r="H21" s="987"/>
      <c r="I21" s="162"/>
    </row>
    <row r="22" spans="1:9" s="668" customFormat="1" ht="12" customHeight="1" x14ac:dyDescent="0.2">
      <c r="A22" s="994" t="s">
        <v>564</v>
      </c>
      <c r="B22" s="995"/>
      <c r="C22" s="993">
        <v>2200</v>
      </c>
      <c r="D22" s="1802"/>
      <c r="E22" s="1804">
        <f>'Expenditures 15-22'!K47-SUM('Expenditures 15-22'!G47,'Expenditures 15-22'!I47)+'Expenditures 15-22'!D243</f>
        <v>73106</v>
      </c>
      <c r="F22" s="1802"/>
      <c r="G22" s="1805">
        <f>'Expenditures 15-22'!K47-SUM('Expenditures 15-22'!G47,'Expenditures 15-22'!I47)+'Expenditures 15-22'!D243</f>
        <v>73106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437889</v>
      </c>
      <c r="F23" s="1802"/>
      <c r="G23" s="1804">
        <f>'Expenditures 15-22'!K53-SUM('Expenditures 15-22'!G53,'Expenditures 15-22'!I53)+'Expenditures 15-22'!D257+'Expenditures 15-22'!K330-SUM('Expenditures 15-22'!G330,'Expenditures 15-22'!I330)</f>
        <v>437889</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0</v>
      </c>
      <c r="F28" s="1806">
        <f>'Expenditures 15-22'!K61-SUM('Expenditures 15-22'!G61,'Expenditures 15-22'!I61)+'Expenditures 15-22'!K124-SUM('Expenditures 15-22'!G124,'Expenditures 15-22'!I124)+'Expenditures 15-22'!D266-E9</f>
        <v>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0</v>
      </c>
      <c r="E41" s="1806">
        <f>SUM(E19:E40)</f>
        <v>3011620</v>
      </c>
      <c r="F41" s="1806">
        <f>SUM(F19:F39)</f>
        <v>0</v>
      </c>
      <c r="G41" s="1806">
        <f>SUM(G19:G40)</f>
        <v>3011620</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0</v>
      </c>
      <c r="F43" s="1807" t="s">
        <v>473</v>
      </c>
      <c r="G43" s="1808">
        <f>F41</f>
        <v>0</v>
      </c>
    </row>
    <row r="44" spans="1:7" ht="12" customHeight="1" x14ac:dyDescent="0.2">
      <c r="A44" s="987"/>
      <c r="B44" s="162"/>
      <c r="C44" s="1001"/>
      <c r="D44" s="1807" t="s">
        <v>474</v>
      </c>
      <c r="E44" s="1808">
        <f>E41</f>
        <v>3011620</v>
      </c>
      <c r="F44" s="1807" t="s">
        <v>474</v>
      </c>
      <c r="G44" s="1808">
        <f>G41</f>
        <v>3011620</v>
      </c>
    </row>
    <row r="45" spans="1:7" ht="12" customHeight="1" x14ac:dyDescent="0.2">
      <c r="A45" s="987"/>
      <c r="B45" s="162"/>
      <c r="C45" s="162"/>
      <c r="D45" s="1809" t="s">
        <v>1006</v>
      </c>
      <c r="E45" s="1810">
        <f>(E43/E44)</f>
        <v>0</v>
      </c>
      <c r="F45" s="1809" t="s">
        <v>1006</v>
      </c>
      <c r="G45" s="1810">
        <f>(G43/G44)</f>
        <v>0</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F14" sqref="F1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1" t="s">
        <v>1379</v>
      </c>
      <c r="B1" s="2301"/>
      <c r="C1" s="2301"/>
      <c r="D1" s="2301"/>
      <c r="E1" s="2301"/>
      <c r="F1" s="2301"/>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2" t="s">
        <v>1546</v>
      </c>
      <c r="B5" s="2303"/>
      <c r="C5" s="2304"/>
      <c r="D5" s="2304"/>
      <c r="E5" s="2304"/>
      <c r="F5" s="2304"/>
    </row>
    <row r="6" spans="1:10" ht="12" customHeight="1" x14ac:dyDescent="0.25">
      <c r="A6" s="1850"/>
      <c r="B6" s="1851"/>
      <c r="C6" s="2305" t="str">
        <f>COVER!A17</f>
        <v>Plano Area Special Ed Coop</v>
      </c>
      <c r="D6" s="2305"/>
      <c r="E6" s="2305"/>
      <c r="F6" s="1852"/>
    </row>
    <row r="7" spans="1:10" ht="11.25" customHeight="1" thickBot="1" x14ac:dyDescent="0.3">
      <c r="A7" s="1850"/>
      <c r="B7" s="1851"/>
      <c r="C7" s="2306">
        <f>COVER!A13</f>
        <v>24047088061</v>
      </c>
      <c r="D7" s="2306"/>
      <c r="E7" s="2306"/>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2064</v>
      </c>
      <c r="D13" s="1865" t="s">
        <v>2064</v>
      </c>
      <c r="E13" s="1868"/>
      <c r="F13" s="1867" t="s">
        <v>2080</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0</v>
      </c>
      <c r="K34" s="1878">
        <f>SUM(H34:J34)</f>
        <v>10</v>
      </c>
    </row>
    <row r="35" spans="1:11" ht="12" customHeight="1" x14ac:dyDescent="0.2">
      <c r="A35" s="1871" t="s">
        <v>1392</v>
      </c>
      <c r="B35" s="1872"/>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73"/>
      <c r="B39" s="1873"/>
      <c r="C39" s="1873"/>
      <c r="D39" s="1873"/>
      <c r="E39" s="1873"/>
      <c r="F39" s="1873"/>
    </row>
    <row r="40" spans="1:11" s="1870" customFormat="1" ht="12" customHeight="1" x14ac:dyDescent="0.25">
      <c r="A40" s="1874" t="s">
        <v>1391</v>
      </c>
      <c r="B40" s="1875"/>
      <c r="C40" s="2296"/>
      <c r="D40" s="2296"/>
      <c r="E40" s="2296"/>
      <c r="F40" s="2297"/>
      <c r="H40" s="1879"/>
      <c r="I40" s="1879"/>
      <c r="J40" s="1879"/>
      <c r="K40" s="1879"/>
    </row>
    <row r="41" spans="1:11" s="1870" customFormat="1" ht="12" customHeight="1" x14ac:dyDescent="0.25">
      <c r="A41" s="2298"/>
      <c r="B41" s="2299"/>
      <c r="C41" s="2299"/>
      <c r="D41" s="2299"/>
      <c r="E41" s="2299"/>
      <c r="F41" s="2300"/>
      <c r="H41" s="1879"/>
      <c r="I41" s="1879"/>
      <c r="J41" s="1879"/>
      <c r="K41" s="1879"/>
    </row>
    <row r="42" spans="1:11" s="1870" customFormat="1" ht="12" customHeight="1" x14ac:dyDescent="0.25">
      <c r="A42" s="2298"/>
      <c r="B42" s="2299"/>
      <c r="C42" s="2299"/>
      <c r="D42" s="2299"/>
      <c r="E42" s="2299"/>
      <c r="F42" s="2300"/>
      <c r="H42" s="1879"/>
      <c r="I42" s="1879"/>
      <c r="J42" s="1879"/>
      <c r="K42" s="1879"/>
    </row>
    <row r="43" spans="1:11" s="1870" customFormat="1" ht="15" x14ac:dyDescent="0.25">
      <c r="A43" s="2287"/>
      <c r="B43" s="2288"/>
      <c r="C43" s="2288"/>
      <c r="D43" s="2288"/>
      <c r="E43" s="2288"/>
      <c r="F43" s="2289"/>
      <c r="H43" s="1879"/>
      <c r="I43" s="1879"/>
      <c r="J43" s="1879"/>
      <c r="K43" s="1879"/>
    </row>
    <row r="44" spans="1:11" s="1870" customFormat="1" ht="12" hidden="1" customHeight="1" x14ac:dyDescent="0.25">
      <c r="A44" s="2287"/>
      <c r="B44" s="2288"/>
      <c r="C44" s="2288"/>
      <c r="D44" s="2288"/>
      <c r="E44" s="2288"/>
      <c r="F44" s="228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J20" sqref="J2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Plano Area Special Ed Coop</v>
      </c>
      <c r="J6" s="2315"/>
      <c r="Q6" s="1664"/>
    </row>
    <row r="7" spans="1:17" x14ac:dyDescent="0.2">
      <c r="A7" s="2316" t="s">
        <v>869</v>
      </c>
      <c r="B7" s="2317"/>
      <c r="C7" s="2317"/>
      <c r="D7" s="2317"/>
      <c r="E7" s="2318"/>
      <c r="F7" s="1017"/>
      <c r="G7" s="1009"/>
      <c r="H7" s="1016" t="s">
        <v>372</v>
      </c>
      <c r="I7" s="2319">
        <f>COVER!A13</f>
        <v>24047088061</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224953</v>
      </c>
      <c r="F12" s="1039"/>
      <c r="G12" s="1811">
        <f t="shared" ref="G12:G18" si="0">SUM(E12:F12)</f>
        <v>224953</v>
      </c>
      <c r="H12" s="1040">
        <v>258531</v>
      </c>
      <c r="I12" s="1039"/>
      <c r="J12" s="1811">
        <f t="shared" ref="J12:J18" si="1">SUM(H12:I12)</f>
        <v>258531</v>
      </c>
    </row>
    <row r="13" spans="1:17" ht="15" customHeight="1" x14ac:dyDescent="0.2">
      <c r="A13" s="1035">
        <v>2</v>
      </c>
      <c r="B13" s="1036" t="s">
        <v>42</v>
      </c>
      <c r="C13" s="1037"/>
      <c r="D13" s="1038">
        <v>2330</v>
      </c>
      <c r="E13" s="1811">
        <f>'Expenditures 15-22'!K51</f>
        <v>201250</v>
      </c>
      <c r="F13" s="1039"/>
      <c r="G13" s="1811">
        <f t="shared" si="0"/>
        <v>201250</v>
      </c>
      <c r="H13" s="1040">
        <v>204068</v>
      </c>
      <c r="I13" s="1039"/>
      <c r="J13" s="1811">
        <f t="shared" si="1"/>
        <v>204068</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3147</v>
      </c>
      <c r="F16" s="1039"/>
      <c r="G16" s="1811">
        <f t="shared" si="0"/>
        <v>3147</v>
      </c>
      <c r="H16" s="1040">
        <v>10000</v>
      </c>
      <c r="I16" s="1039"/>
      <c r="J16" s="1811">
        <f t="shared" si="1"/>
        <v>10000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429350</v>
      </c>
      <c r="F19" s="1813">
        <f t="shared" si="2"/>
        <v>0</v>
      </c>
      <c r="G19" s="1813">
        <f t="shared" si="2"/>
        <v>429350</v>
      </c>
      <c r="H19" s="1813">
        <f t="shared" si="2"/>
        <v>472599</v>
      </c>
      <c r="I19" s="1813">
        <f t="shared" si="2"/>
        <v>0</v>
      </c>
      <c r="J19" s="1813">
        <f t="shared" si="2"/>
        <v>472599</v>
      </c>
    </row>
    <row r="20" spans="1:10" ht="13.5" thickTop="1" x14ac:dyDescent="0.2">
      <c r="A20" s="1035">
        <v>9</v>
      </c>
      <c r="B20" s="2326" t="s">
        <v>1981</v>
      </c>
      <c r="C20" s="2326"/>
      <c r="D20" s="2327"/>
      <c r="E20" s="1046"/>
      <c r="F20" s="1046"/>
      <c r="G20" s="1046"/>
      <c r="H20" s="1046"/>
      <c r="I20" s="1046"/>
      <c r="J20" s="1814">
        <f>IF(AND(G19&gt;0,J19&gt;0),(((J19-G19)/G19)),"Enter Budget Data")</f>
        <v>0.10073133806917434</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1983</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Plano Area Special Ed Coop</v>
      </c>
    </row>
    <row r="65" spans="2:2" x14ac:dyDescent="0.2">
      <c r="B65" s="1070">
        <f>COVER!A13</f>
        <v>24047088061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933450</xdr:colOff>
                <xdr:row>1</xdr:row>
                <xdr:rowOff>0</xdr:rowOff>
              </from>
              <to>
                <xdr:col>1</xdr:col>
                <xdr:colOff>1847850</xdr:colOff>
                <xdr:row>5</xdr:row>
                <xdr:rowOff>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1987</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1988</v>
      </c>
      <c r="B4" s="2354"/>
      <c r="C4" s="2354"/>
      <c r="D4" s="2354"/>
      <c r="E4" s="2354"/>
      <c r="F4" s="2355"/>
      <c r="G4" s="1074"/>
      <c r="H4" s="1074"/>
    </row>
    <row r="5" spans="1:8" ht="14.25" customHeight="1" x14ac:dyDescent="0.2">
      <c r="A5" s="2356" t="s">
        <v>1984</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3629787</v>
      </c>
      <c r="C8" s="1815">
        <f>'Acct Summary 7-8'!D8</f>
        <v>0</v>
      </c>
      <c r="D8" s="1815">
        <f>'Acct Summary 7-8'!F8</f>
        <v>0</v>
      </c>
      <c r="E8" s="1815">
        <f>'Acct Summary 7-8'!I8</f>
        <v>0</v>
      </c>
      <c r="F8" s="1815">
        <f>SUM(B8:E8)</f>
        <v>3629787</v>
      </c>
    </row>
    <row r="9" spans="1:8" s="1079" customFormat="1" ht="14.25" customHeight="1" thickBot="1" x14ac:dyDescent="0.25">
      <c r="A9" s="1078" t="s">
        <v>1369</v>
      </c>
      <c r="B9" s="1816">
        <f>'Acct Summary 7-8'!C17</f>
        <v>3680794</v>
      </c>
      <c r="C9" s="1816">
        <f>'Acct Summary 7-8'!D17</f>
        <v>0</v>
      </c>
      <c r="D9" s="1816">
        <f>'Acct Summary 7-8'!F17</f>
        <v>0</v>
      </c>
      <c r="E9" s="1815"/>
      <c r="F9" s="1815">
        <f>SUM(B9:E9)</f>
        <v>3680794</v>
      </c>
    </row>
    <row r="10" spans="1:8" s="1079" customFormat="1" ht="14.25" thickTop="1" thickBot="1" x14ac:dyDescent="0.25">
      <c r="A10" s="1080" t="s">
        <v>1370</v>
      </c>
      <c r="B10" s="1817">
        <f>(B8-B9)</f>
        <v>-51007</v>
      </c>
      <c r="C10" s="1817">
        <f>(C8-C9)</f>
        <v>0</v>
      </c>
      <c r="D10" s="1817">
        <f>(D8-D9)</f>
        <v>0</v>
      </c>
      <c r="E10" s="1816">
        <f>(E8-E9)</f>
        <v>0</v>
      </c>
      <c r="F10" s="1818">
        <f>SUM(F8-F9)</f>
        <v>-51007</v>
      </c>
    </row>
    <row r="11" spans="1:8" s="1079" customFormat="1" ht="14.25" thickTop="1" thickBot="1" x14ac:dyDescent="0.25">
      <c r="A11" s="1081" t="s">
        <v>1985</v>
      </c>
      <c r="B11" s="1819">
        <f>'Acct Summary 7-8'!C81</f>
        <v>552055</v>
      </c>
      <c r="C11" s="1819">
        <f>'Acct Summary 7-8'!D81</f>
        <v>0</v>
      </c>
      <c r="D11" s="1819">
        <f>'Acct Summary 7-8'!F81</f>
        <v>0</v>
      </c>
      <c r="E11" s="1819">
        <f>'Acct Summary 7-8'!I81</f>
        <v>0</v>
      </c>
      <c r="F11" s="1820">
        <f>SUM(B11:E11)</f>
        <v>552055</v>
      </c>
    </row>
    <row r="12" spans="1:8" ht="16.5" customHeight="1" thickTop="1" x14ac:dyDescent="0.2">
      <c r="A12" s="1082"/>
      <c r="B12" s="1083"/>
      <c r="C12" s="2338" t="str">
        <f>IF(AND(F10&lt;0,F11&gt;=0,ABS(F10*3)&gt;ABS(F11)),A16,IF(AND(F10&lt;0,F11&gt;0,ABS(F10*3)&lt;=ABS(F11)),A17,IF(AND(F10&lt;0,F11&lt;0),A16,IF(F11=0,A19,A18))))</f>
        <v>Unbalanced -  however, a deficit reduction plan is not required at this time.</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3"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24047088061</v>
      </c>
    </row>
    <row r="3" spans="1:2" x14ac:dyDescent="0.2">
      <c r="A3" t="s">
        <v>956</v>
      </c>
      <c r="B3" s="138" t="str">
        <f>COVER!A15</f>
        <v>KENDALL</v>
      </c>
    </row>
    <row r="4" spans="1:2" x14ac:dyDescent="0.2">
      <c r="A4" t="s">
        <v>1007</v>
      </c>
      <c r="B4" s="138" t="str">
        <f>COVER!A17</f>
        <v>Plano Area Special Ed Coop</v>
      </c>
    </row>
    <row r="5" spans="1:2" x14ac:dyDescent="0.2">
      <c r="A5" t="s">
        <v>704</v>
      </c>
      <c r="B5" s="138" t="str">
        <f>COVER!A38</f>
        <v>TONY BAKER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065-037815</v>
      </c>
    </row>
    <row r="16" spans="1:2" x14ac:dyDescent="0.2">
      <c r="A16" t="s">
        <v>422</v>
      </c>
      <c r="B16" s="138" t="str">
        <f>COVER!T13</f>
        <v>Lauterbach &amp; Amen</v>
      </c>
    </row>
    <row r="17" spans="1:2" x14ac:dyDescent="0.2">
      <c r="A17" t="s">
        <v>884</v>
      </c>
      <c r="B17" s="138" t="str">
        <f>COVER!T15</f>
        <v>Don Shaw</v>
      </c>
    </row>
    <row r="18" spans="1:2" x14ac:dyDescent="0.2">
      <c r="A18" t="s">
        <v>1150</v>
      </c>
      <c r="B18" s="138" t="str">
        <f>COVER!T17</f>
        <v>668 N. River Rd</v>
      </c>
    </row>
    <row r="19" spans="1:2" x14ac:dyDescent="0.2">
      <c r="A19" t="s">
        <v>886</v>
      </c>
      <c r="B19" s="138" t="str">
        <f>COVER!T25</f>
        <v>dshaw@lauterbachamen.com</v>
      </c>
    </row>
    <row r="20" spans="1:2" x14ac:dyDescent="0.2">
      <c r="A20" t="s">
        <v>887</v>
      </c>
      <c r="B20" s="138" t="str">
        <f>COVER!T19</f>
        <v>Naperville</v>
      </c>
    </row>
    <row r="21" spans="1:2" x14ac:dyDescent="0.2">
      <c r="A21" t="s">
        <v>479</v>
      </c>
      <c r="B21" s="138" t="str">
        <f>COVER!X19</f>
        <v>IL</v>
      </c>
    </row>
    <row r="22" spans="1:2" x14ac:dyDescent="0.2">
      <c r="A22" t="s">
        <v>888</v>
      </c>
      <c r="B22" s="138">
        <f>COVER!Z19</f>
        <v>60563</v>
      </c>
    </row>
    <row r="23" spans="1:2" x14ac:dyDescent="0.2">
      <c r="A23" t="s">
        <v>1152</v>
      </c>
      <c r="B23" s="138">
        <f>COVER!T21</f>
        <v>6303931483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552055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552055</v>
      </c>
      <c r="D92" s="2" t="str">
        <f t="shared" si="0"/>
        <v>Error?</v>
      </c>
    </row>
    <row r="93" spans="1:4" x14ac:dyDescent="0.2">
      <c r="A93" s="5">
        <v>32</v>
      </c>
      <c r="B93" s="138">
        <f>'Assets-Liab 5-6'!C41</f>
        <v>552055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573</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36385</v>
      </c>
      <c r="D717" s="2" t="str">
        <f t="shared" si="10"/>
        <v>Error?</v>
      </c>
    </row>
    <row r="718" spans="1:4" x14ac:dyDescent="0.2">
      <c r="A718" s="5">
        <v>657</v>
      </c>
      <c r="B718" s="138">
        <f>'Expenditures 15-22'!C14</f>
        <v>5500</v>
      </c>
      <c r="D718" s="2" t="str">
        <f t="shared" si="10"/>
        <v>Error?</v>
      </c>
    </row>
    <row r="719" spans="1:4" x14ac:dyDescent="0.2">
      <c r="A719" s="5">
        <v>658</v>
      </c>
      <c r="B719" s="138">
        <f>'Expenditures 15-22'!C15</f>
        <v>58311</v>
      </c>
      <c r="D719" s="2" t="str">
        <f t="shared" si="10"/>
        <v>Error?</v>
      </c>
    </row>
    <row r="720" spans="1:4" x14ac:dyDescent="0.2">
      <c r="A720" s="5">
        <v>659</v>
      </c>
      <c r="B720" s="138">
        <f>'Expenditures 15-22'!C33</f>
        <v>1111059</v>
      </c>
      <c r="C720" s="2" t="s">
        <v>573</v>
      </c>
      <c r="D720" s="2" t="str">
        <f t="shared" si="10"/>
        <v>Error?</v>
      </c>
    </row>
    <row r="721" spans="1:4" x14ac:dyDescent="0.2">
      <c r="A721" s="5">
        <v>660</v>
      </c>
      <c r="B721" s="138">
        <f>'Expenditures 15-22'!C36</f>
        <v>335314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145540</v>
      </c>
      <c r="D723" s="2" t="str">
        <f t="shared" si="10"/>
        <v>Error?</v>
      </c>
    </row>
    <row r="724" spans="1:4" x14ac:dyDescent="0.2">
      <c r="A724" s="5">
        <v>663</v>
      </c>
      <c r="B724" s="138">
        <f>'Expenditures 15-22'!C39</f>
        <v>181599</v>
      </c>
      <c r="D724" s="2" t="str">
        <f t="shared" si="10"/>
        <v>Error?</v>
      </c>
    </row>
    <row r="725" spans="1:4" x14ac:dyDescent="0.2">
      <c r="A725" s="5">
        <v>664</v>
      </c>
      <c r="B725" s="138">
        <f>'Expenditures 15-22'!C40</f>
        <v>208306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870759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154445</v>
      </c>
      <c r="D733" s="2" t="str">
        <f t="shared" si="10"/>
        <v>Error?</v>
      </c>
    </row>
    <row r="734" spans="1:4" x14ac:dyDescent="0.2">
      <c r="A734" s="5">
        <v>673</v>
      </c>
      <c r="B734" s="138">
        <f>'Expenditures 15-22'!C53</f>
        <v>338422</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1209181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2320240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7016</v>
      </c>
      <c r="D775" s="2" t="str">
        <f t="shared" si="11"/>
        <v>Error?</v>
      </c>
    </row>
    <row r="776" spans="1:4" x14ac:dyDescent="0.2">
      <c r="A776" s="5">
        <v>715</v>
      </c>
      <c r="B776" s="138">
        <f>'Expenditures 15-22'!D14</f>
        <v>17</v>
      </c>
      <c r="D776" s="2" t="str">
        <f t="shared" si="11"/>
        <v>Error?</v>
      </c>
    </row>
    <row r="777" spans="1:4" x14ac:dyDescent="0.2">
      <c r="A777" s="5">
        <v>716</v>
      </c>
      <c r="B777" s="138">
        <f>'Expenditures 15-22'!D15</f>
        <v>265</v>
      </c>
      <c r="D777" s="2" t="str">
        <f t="shared" si="11"/>
        <v>Error?</v>
      </c>
    </row>
    <row r="778" spans="1:4" x14ac:dyDescent="0.2">
      <c r="A778" s="5">
        <v>717</v>
      </c>
      <c r="B778" s="138">
        <f>'Expenditures 15-22'!D33</f>
        <v>141217</v>
      </c>
      <c r="C778" s="2" t="s">
        <v>573</v>
      </c>
      <c r="D778" s="2" t="str">
        <f t="shared" si="11"/>
        <v>Error?</v>
      </c>
    </row>
    <row r="779" spans="1:4" x14ac:dyDescent="0.2">
      <c r="A779" s="5">
        <v>718</v>
      </c>
      <c r="B779" s="138">
        <f>'Expenditures 15-22'!D36</f>
        <v>38688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105</v>
      </c>
      <c r="D781" s="2" t="str">
        <f t="shared" si="11"/>
        <v>Error?</v>
      </c>
    </row>
    <row r="782" spans="1:4" x14ac:dyDescent="0.2">
      <c r="A782" s="5">
        <v>721</v>
      </c>
      <c r="B782" s="138">
        <f>'Expenditures 15-22'!D39</f>
        <v>15358</v>
      </c>
      <c r="D782" s="2" t="str">
        <f t="shared" si="11"/>
        <v>Error?</v>
      </c>
    </row>
    <row r="783" spans="1:4" x14ac:dyDescent="0.2">
      <c r="A783" s="5">
        <v>722</v>
      </c>
      <c r="B783" s="138">
        <f>'Expenditures 15-22'!D40</f>
        <v>15071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69222</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28928</v>
      </c>
      <c r="D791" s="2" t="str">
        <f t="shared" si="11"/>
        <v>Error?</v>
      </c>
    </row>
    <row r="792" spans="1:4" x14ac:dyDescent="0.2">
      <c r="A792" s="5">
        <v>731</v>
      </c>
      <c r="B792" s="138">
        <f>'Expenditures 15-22'!D53</f>
        <v>44137</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113359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254576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310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11922</v>
      </c>
      <c r="C836" s="2" t="s">
        <v>573</v>
      </c>
      <c r="D836" s="2" t="str">
        <f t="shared" si="12"/>
        <v>Error?</v>
      </c>
    </row>
    <row r="837" spans="1:4" x14ac:dyDescent="0.2">
      <c r="A837" s="5">
        <v>776</v>
      </c>
      <c r="B837" s="138">
        <f>'Expenditures 15-22'!E36</f>
        <v>290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11995</v>
      </c>
      <c r="D839" s="2" t="str">
        <f t="shared" si="12"/>
        <v>Error?</v>
      </c>
    </row>
    <row r="840" spans="1:4" x14ac:dyDescent="0.2">
      <c r="A840" s="5">
        <v>779</v>
      </c>
      <c r="B840" s="138">
        <f>'Expenditures 15-22'!E39</f>
        <v>7029</v>
      </c>
      <c r="D840" s="2" t="str">
        <f t="shared" si="12"/>
        <v>Error?</v>
      </c>
    </row>
    <row r="841" spans="1:4" x14ac:dyDescent="0.2">
      <c r="A841" s="5">
        <v>780</v>
      </c>
      <c r="B841" s="138">
        <f>'Expenditures 15-22'!E40</f>
        <v>145437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164751</v>
      </c>
      <c r="C843" s="2" t="s">
        <v>573</v>
      </c>
      <c r="D843" s="2" t="str">
        <f t="shared" si="12"/>
        <v>Error?</v>
      </c>
    </row>
    <row r="844" spans="1:4" x14ac:dyDescent="0.2">
      <c r="A844" s="5">
        <v>783</v>
      </c>
      <c r="B844" s="138">
        <f>'Expenditures 15-22'!E44</f>
        <v>42998</v>
      </c>
      <c r="D844" s="2" t="str">
        <f t="shared" si="12"/>
        <v>Error?</v>
      </c>
    </row>
    <row r="845" spans="1:4" x14ac:dyDescent="0.2">
      <c r="A845" s="5">
        <v>784</v>
      </c>
      <c r="B845" s="138">
        <f>'Expenditures 15-22'!E45</f>
        <v>17750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60748</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38181</v>
      </c>
      <c r="D849" s="2" t="str">
        <f t="shared" si="12"/>
        <v>Error?</v>
      </c>
    </row>
    <row r="850" spans="1:4" x14ac:dyDescent="0.2">
      <c r="A850" s="5">
        <v>789</v>
      </c>
      <c r="B850" s="138">
        <f>'Expenditures 15-22'!E53</f>
        <v>40245</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265744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297626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1337</v>
      </c>
      <c r="D892" s="2" t="str">
        <f t="shared" si="12"/>
        <v>Error?</v>
      </c>
    </row>
    <row r="893" spans="1:4" x14ac:dyDescent="0.2">
      <c r="A893" s="5">
        <v>832</v>
      </c>
      <c r="B893" s="138">
        <f>'Expenditures 15-22'!F15</f>
        <v>206</v>
      </c>
      <c r="D893" s="2" t="str">
        <f t="shared" si="12"/>
        <v>Error?</v>
      </c>
    </row>
    <row r="894" spans="1:4" x14ac:dyDescent="0.2">
      <c r="A894" s="5">
        <v>833</v>
      </c>
      <c r="B894" s="138">
        <f>'Expenditures 15-22'!F33</f>
        <v>19886</v>
      </c>
      <c r="C894" s="2" t="s">
        <v>573</v>
      </c>
      <c r="D894" s="2" t="str">
        <f t="shared" si="12"/>
        <v>Error?</v>
      </c>
    </row>
    <row r="895" spans="1:4" x14ac:dyDescent="0.2">
      <c r="A895" s="5">
        <v>834</v>
      </c>
      <c r="B895" s="138">
        <f>'Expenditures 15-22'!F36</f>
        <v>868</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3225</v>
      </c>
      <c r="D897" s="2" t="str">
        <f t="shared" si="13"/>
        <v>Error?</v>
      </c>
    </row>
    <row r="898" spans="1:4" x14ac:dyDescent="0.2">
      <c r="A898" s="5">
        <v>837</v>
      </c>
      <c r="B898" s="138">
        <f>'Expenditures 15-22'!F39</f>
        <v>1092</v>
      </c>
      <c r="D898" s="2" t="str">
        <f t="shared" si="13"/>
        <v>Error?</v>
      </c>
    </row>
    <row r="899" spans="1:4" x14ac:dyDescent="0.2">
      <c r="A899" s="5">
        <v>838</v>
      </c>
      <c r="B899" s="138">
        <f>'Expenditures 15-22'!F40</f>
        <v>1027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6212</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12358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12358</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3399</v>
      </c>
      <c r="D907" s="2" t="str">
        <f t="shared" si="13"/>
        <v>Error?</v>
      </c>
    </row>
    <row r="908" spans="1:4" x14ac:dyDescent="0.2">
      <c r="A908" s="5">
        <v>847</v>
      </c>
      <c r="B908" s="138">
        <f>'Expenditures 15-22'!F53</f>
        <v>3399</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21969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41855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2007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2007</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61299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61299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63306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63306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680260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680260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43401</v>
      </c>
      <c r="C1105" s="2" t="s">
        <v>573</v>
      </c>
      <c r="D1105" s="2" t="str">
        <f t="shared" si="16"/>
        <v>Error?</v>
      </c>
    </row>
    <row r="1106" spans="1:4" x14ac:dyDescent="0.2">
      <c r="A1106" s="5">
        <v>1045</v>
      </c>
      <c r="B1106" s="138">
        <f>'Expenditures 15-22'!K14</f>
        <v>7164</v>
      </c>
      <c r="C1106" s="2" t="s">
        <v>573</v>
      </c>
      <c r="D1106" s="2" t="str">
        <f t="shared" si="16"/>
        <v>Error?</v>
      </c>
    </row>
    <row r="1107" spans="1:4" x14ac:dyDescent="0.2">
      <c r="A1107" s="5">
        <v>1046</v>
      </c>
      <c r="B1107" s="138">
        <f>'Expenditures 15-22'!K15</f>
        <v>58782</v>
      </c>
      <c r="C1107" s="2" t="s">
        <v>573</v>
      </c>
      <c r="D1107" s="2" t="str">
        <f t="shared" si="16"/>
        <v>Error?</v>
      </c>
    </row>
    <row r="1108" spans="1:4" x14ac:dyDescent="0.2">
      <c r="A1108" s="5">
        <v>1047</v>
      </c>
      <c r="B1108" s="138">
        <f>'Expenditures 15-22'!K33</f>
        <v>1298508</v>
      </c>
      <c r="C1108" s="2" t="s">
        <v>573</v>
      </c>
      <c r="D1108" s="2" t="str">
        <f t="shared" si="16"/>
        <v>Error?</v>
      </c>
    </row>
    <row r="1109" spans="1:4" x14ac:dyDescent="0.2">
      <c r="A1109" s="5">
        <v>1048</v>
      </c>
      <c r="B1109" s="138">
        <f>'Expenditures 15-22'!K36</f>
        <v>375160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163064</v>
      </c>
      <c r="C1111" s="2" t="s">
        <v>573</v>
      </c>
      <c r="D1111" s="2" t="str">
        <f t="shared" si="16"/>
        <v>Error?</v>
      </c>
    </row>
    <row r="1112" spans="1:4" x14ac:dyDescent="0.2">
      <c r="A1112" s="5">
        <v>1051</v>
      </c>
      <c r="B1112" s="138">
        <f>'Expenditures 15-22'!K39</f>
        <v>205078</v>
      </c>
      <c r="C1112" s="2" t="s">
        <v>573</v>
      </c>
      <c r="D1112" s="2" t="str">
        <f t="shared" si="16"/>
        <v>Error?</v>
      </c>
    </row>
    <row r="1113" spans="1:4" x14ac:dyDescent="0.2">
      <c r="A1113" s="5">
        <v>1052</v>
      </c>
      <c r="B1113" s="138">
        <f>'Expenditures 15-22'!K40</f>
        <v>373002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1116304</v>
      </c>
      <c r="C1115" s="2" t="s">
        <v>573</v>
      </c>
      <c r="D1115" s="2" t="str">
        <f t="shared" si="16"/>
        <v>Error?</v>
      </c>
    </row>
    <row r="1116" spans="1:4" x14ac:dyDescent="0.2">
      <c r="A1116" s="5">
        <v>1055</v>
      </c>
      <c r="B1116" s="138">
        <f>'Expenditures 15-22'!K44</f>
        <v>42998</v>
      </c>
      <c r="C1116" s="2" t="s">
        <v>573</v>
      </c>
      <c r="D1116" s="2" t="str">
        <f t="shared" si="16"/>
        <v>Error?</v>
      </c>
    </row>
    <row r="1117" spans="1:4" x14ac:dyDescent="0.2">
      <c r="A1117" s="5">
        <v>1056</v>
      </c>
      <c r="B1117" s="138">
        <f>'Expenditures 15-22'!K45</f>
        <v>32115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75113</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224953</v>
      </c>
      <c r="C1121" s="2" t="s">
        <v>573</v>
      </c>
      <c r="D1121" s="2" t="str">
        <f t="shared" si="16"/>
        <v>Error?</v>
      </c>
    </row>
    <row r="1122" spans="1:4" x14ac:dyDescent="0.2">
      <c r="A1122" s="5">
        <v>1061</v>
      </c>
      <c r="B1122" s="138">
        <f>'Expenditures 15-22'!K53</f>
        <v>426203</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61299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3147</v>
      </c>
      <c r="C1131" s="2" t="s">
        <v>573</v>
      </c>
      <c r="D1131" s="2" t="str">
        <f t="shared" si="16"/>
        <v>Error?</v>
      </c>
    </row>
    <row r="1132" spans="1:4" x14ac:dyDescent="0.2">
      <c r="A1132" s="10">
        <v>1071</v>
      </c>
      <c r="D1132" s="2" t="str">
        <f t="shared" si="16"/>
        <v>OK</v>
      </c>
    </row>
    <row r="1133" spans="1:4" x14ac:dyDescent="0.2">
      <c r="A1133" s="5">
        <v>1072</v>
      </c>
      <c r="B1133" s="138">
        <f>'Expenditures 15-22'!K65</f>
        <v>64446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1682066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700220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3680794</v>
      </c>
      <c r="C1152" s="2" t="s">
        <v>573</v>
      </c>
      <c r="D1152" s="2" t="str">
        <f t="shared" si="17"/>
        <v>Error?</v>
      </c>
    </row>
    <row r="1153" spans="1:4" x14ac:dyDescent="0.2">
      <c r="A1153" s="5">
        <v>1092</v>
      </c>
      <c r="B1153" s="138">
        <f>'Expenditures 15-22'!K115</f>
        <v>-51007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8510</v>
      </c>
      <c r="D1407" s="2" t="str">
        <f t="shared" ref="D1407:D1470" si="21">IF(ISBLANK(B1407),"OK",IF(A1407-B1407=0,"OK","Error?"))</f>
        <v>Error?</v>
      </c>
    </row>
    <row r="1408" spans="1:4" x14ac:dyDescent="0.2">
      <c r="A1408" s="5">
        <v>1347</v>
      </c>
      <c r="B1408" s="138">
        <f>'Expenditures 15-22'!D223</f>
        <v>3529</v>
      </c>
      <c r="D1408" s="2" t="str">
        <f t="shared" si="21"/>
        <v>Error?</v>
      </c>
    </row>
    <row r="1409" spans="1:4" x14ac:dyDescent="0.2">
      <c r="A1409" s="5">
        <v>1348</v>
      </c>
      <c r="B1409" s="138">
        <f>'Expenditures 15-22'!D224</f>
        <v>3493</v>
      </c>
      <c r="D1409" s="2" t="str">
        <f t="shared" si="21"/>
        <v>Error?</v>
      </c>
    </row>
    <row r="1410" spans="1:4" x14ac:dyDescent="0.2">
      <c r="A1410" s="5">
        <v>1349</v>
      </c>
      <c r="B1410" s="138">
        <f>'Expenditures 15-22'!D229</f>
        <v>91955</v>
      </c>
      <c r="C1410" s="2" t="s">
        <v>573</v>
      </c>
      <c r="D1410" s="2" t="str">
        <f t="shared" si="21"/>
        <v>Error?</v>
      </c>
    </row>
    <row r="1411" spans="1:4" x14ac:dyDescent="0.2">
      <c r="A1411" s="5">
        <v>1350</v>
      </c>
      <c r="B1411" s="138">
        <f>'Expenditures 15-22'!D232</f>
        <v>4862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8780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13642</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9019</v>
      </c>
      <c r="D1423" s="2" t="str">
        <f t="shared" si="21"/>
        <v>Error?</v>
      </c>
    </row>
    <row r="1424" spans="1:4" x14ac:dyDescent="0.2">
      <c r="A1424" s="5">
        <v>1363</v>
      </c>
      <c r="B1424" s="138">
        <f>'Expenditures 15-22'!D257</f>
        <v>11686</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25328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117283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8510</v>
      </c>
      <c r="C1471" s="2" t="s">
        <v>573</v>
      </c>
      <c r="D1471" s="2" t="str">
        <f t="shared" ref="D1471:D1534" si="22">IF(ISBLANK(B1471),"OK",IF(A1471-B1471=0,"OK","Error?"))</f>
        <v>Error?</v>
      </c>
    </row>
    <row r="1472" spans="1:4" x14ac:dyDescent="0.2">
      <c r="A1472" s="5">
        <v>1411</v>
      </c>
      <c r="B1472" s="138">
        <f>'Expenditures 15-22'!K223</f>
        <v>3529</v>
      </c>
      <c r="C1472" s="2" t="s">
        <v>573</v>
      </c>
      <c r="D1472" s="2" t="str">
        <f t="shared" si="22"/>
        <v>Error?</v>
      </c>
    </row>
    <row r="1473" spans="1:4" x14ac:dyDescent="0.2">
      <c r="A1473" s="5">
        <v>1412</v>
      </c>
      <c r="B1473" s="138">
        <f>'Expenditures 15-22'!K224</f>
        <v>3493</v>
      </c>
      <c r="C1473" s="2" t="s">
        <v>573</v>
      </c>
      <c r="D1473" s="2" t="str">
        <f t="shared" si="22"/>
        <v>Error?</v>
      </c>
    </row>
    <row r="1474" spans="1:4" x14ac:dyDescent="0.2">
      <c r="A1474" s="5">
        <v>1413</v>
      </c>
      <c r="B1474" s="138">
        <f>'Expenditures 15-22'!K229</f>
        <v>91955</v>
      </c>
      <c r="C1474" s="2" t="s">
        <v>573</v>
      </c>
      <c r="D1474" s="2" t="str">
        <f t="shared" si="22"/>
        <v>Error?</v>
      </c>
    </row>
    <row r="1475" spans="1:4" x14ac:dyDescent="0.2">
      <c r="A1475" s="5">
        <v>1414</v>
      </c>
      <c r="B1475" s="138">
        <f>'Expenditures 15-22'!K232</f>
        <v>4862</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8780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13642</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9019</v>
      </c>
      <c r="C1487" s="2" t="s">
        <v>573</v>
      </c>
      <c r="D1487" s="2" t="str">
        <f t="shared" si="22"/>
        <v>Error?</v>
      </c>
    </row>
    <row r="1488" spans="1:4" x14ac:dyDescent="0.2">
      <c r="A1488" s="5">
        <v>1427</v>
      </c>
      <c r="B1488" s="138">
        <f>'Expenditures 15-22'!K257</f>
        <v>11686</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25328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117283</v>
      </c>
      <c r="C1517" s="2" t="s">
        <v>573</v>
      </c>
      <c r="D1517" s="2" t="str">
        <f t="shared" si="22"/>
        <v>Error?</v>
      </c>
    </row>
    <row r="1518" spans="1:4" x14ac:dyDescent="0.2">
      <c r="A1518" s="5">
        <v>1457</v>
      </c>
      <c r="B1518" s="138">
        <f>'Expenditures 15-22'!K296</f>
        <v>717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825028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552055</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-222683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0</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19960</v>
      </c>
      <c r="C2088" s="2" t="s">
        <v>573</v>
      </c>
      <c r="D2088" s="2" t="str">
        <f t="shared" si="31"/>
        <v>Error?</v>
      </c>
    </row>
    <row r="2089" spans="1:4" x14ac:dyDescent="0.2">
      <c r="A2089" s="5">
        <v>2028</v>
      </c>
      <c r="B2089" s="138">
        <f>'Expenditures 15-22'!K92</f>
        <v>680260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2413772</v>
      </c>
      <c r="C2551" s="2" t="s">
        <v>573</v>
      </c>
      <c r="D2551" s="2" t="str">
        <f t="shared" si="38"/>
        <v>Error?</v>
      </c>
    </row>
    <row r="2552" spans="1:4" x14ac:dyDescent="0.2">
      <c r="A2552" s="10">
        <v>2491</v>
      </c>
      <c r="D2552" s="2" t="str">
        <f t="shared" si="38"/>
        <v>OK</v>
      </c>
    </row>
    <row r="2553" spans="1:4" x14ac:dyDescent="0.2">
      <c r="A2553" s="5">
        <v>2492</v>
      </c>
      <c r="B2553" s="138">
        <f>'Acct Summary 7-8'!C6</f>
        <v>353459</v>
      </c>
      <c r="C2553" s="2" t="s">
        <v>573</v>
      </c>
      <c r="D2553" s="2" t="str">
        <f t="shared" si="38"/>
        <v>Error?</v>
      </c>
    </row>
    <row r="2554" spans="1:4" x14ac:dyDescent="0.2">
      <c r="A2554" s="5">
        <v>2493</v>
      </c>
      <c r="B2554" s="138">
        <f>'Acct Summary 7-8'!C7</f>
        <v>862556</v>
      </c>
      <c r="C2554" s="2" t="s">
        <v>573</v>
      </c>
      <c r="D2554" s="2" t="str">
        <f t="shared" si="38"/>
        <v>Error?</v>
      </c>
    </row>
    <row r="2555" spans="1:4" x14ac:dyDescent="0.2">
      <c r="A2555" s="5">
        <v>2494</v>
      </c>
      <c r="B2555" s="138">
        <f>'Acct Summary 7-8'!C8</f>
        <v>3629787</v>
      </c>
      <c r="C2555" s="2" t="s">
        <v>573</v>
      </c>
      <c r="D2555" s="2" t="str">
        <f t="shared" si="38"/>
        <v>Error?</v>
      </c>
    </row>
    <row r="2556" spans="1:4" x14ac:dyDescent="0.2">
      <c r="A2556" s="5">
        <v>2495</v>
      </c>
      <c r="B2556" s="138">
        <f>'Acct Summary 7-8'!C12</f>
        <v>1298508</v>
      </c>
      <c r="C2556" s="2" t="s">
        <v>573</v>
      </c>
      <c r="D2556" s="2" t="str">
        <f t="shared" si="38"/>
        <v>Error?</v>
      </c>
    </row>
    <row r="2557" spans="1:4" x14ac:dyDescent="0.2">
      <c r="A2557" s="5">
        <v>2496</v>
      </c>
      <c r="B2557" s="138">
        <f>'Acct Summary 7-8'!C13</f>
        <v>1682066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700220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3680794</v>
      </c>
      <c r="C2561" s="2" t="s">
        <v>573</v>
      </c>
      <c r="D2561" s="2" t="str">
        <f t="shared" si="39"/>
        <v>Error?</v>
      </c>
    </row>
    <row r="2562" spans="1:4" x14ac:dyDescent="0.2">
      <c r="A2562" s="5">
        <v>2501</v>
      </c>
      <c r="B2562" s="138">
        <f>'Acct Summary 7-8'!C20</f>
        <v>-51007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118000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118000</v>
      </c>
      <c r="C2606" s="2" t="s">
        <v>573</v>
      </c>
      <c r="D2606" s="2" t="str">
        <f t="shared" si="39"/>
        <v>Error?</v>
      </c>
    </row>
    <row r="2607" spans="1:4" x14ac:dyDescent="0.2">
      <c r="A2607" s="5">
        <v>2546</v>
      </c>
      <c r="B2607" s="138">
        <f>'Acct Summary 7-8'!G12</f>
        <v>91955</v>
      </c>
      <c r="C2607" s="2" t="s">
        <v>573</v>
      </c>
      <c r="D2607" s="2" t="str">
        <f t="shared" si="39"/>
        <v>Error?</v>
      </c>
    </row>
    <row r="2608" spans="1:4" x14ac:dyDescent="0.2">
      <c r="A2608" s="5">
        <v>2547</v>
      </c>
      <c r="B2608" s="138">
        <f>'Acct Summary 7-8'!G13</f>
        <v>25328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117283</v>
      </c>
      <c r="C2612" s="2" t="s">
        <v>573</v>
      </c>
      <c r="D2612" s="2" t="str">
        <f t="shared" si="39"/>
        <v>Error?</v>
      </c>
    </row>
    <row r="2613" spans="1:4" x14ac:dyDescent="0.2">
      <c r="A2613" s="5">
        <v>2552</v>
      </c>
      <c r="B2613" s="138">
        <f>'Acct Summary 7-8'!G20</f>
        <v>717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183977</v>
      </c>
      <c r="D2718" s="2" t="str">
        <f t="shared" si="41"/>
        <v>Error?</v>
      </c>
    </row>
    <row r="2719" spans="1:4" x14ac:dyDescent="0.2">
      <c r="A2719" s="5">
        <v>2658</v>
      </c>
      <c r="B2719" s="138">
        <f>'Expenditures 15-22'!D51</f>
        <v>15209</v>
      </c>
      <c r="D2719" s="2" t="str">
        <f t="shared" si="41"/>
        <v>Error?</v>
      </c>
    </row>
    <row r="2720" spans="1:4" x14ac:dyDescent="0.2">
      <c r="A2720" s="5">
        <v>2659</v>
      </c>
      <c r="B2720" s="138">
        <f>'Expenditures 15-22'!E51</f>
        <v>2064</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201250</v>
      </c>
      <c r="C2724" s="2" t="s">
        <v>573</v>
      </c>
      <c r="D2724" s="2" t="str">
        <f t="shared" si="41"/>
        <v>Error?</v>
      </c>
    </row>
    <row r="2725" spans="1:4" x14ac:dyDescent="0.2">
      <c r="A2725" s="5">
        <v>2664</v>
      </c>
      <c r="B2725" s="138">
        <f>'Expenditures 15-22'!D247</f>
        <v>2667</v>
      </c>
      <c r="D2725" s="2" t="str">
        <f t="shared" si="41"/>
        <v>Error?</v>
      </c>
    </row>
    <row r="2726" spans="1:4" x14ac:dyDescent="0.2">
      <c r="A2726" s="5">
        <v>2665</v>
      </c>
      <c r="B2726" s="138">
        <f>'Expenditures 15-22'!K247</f>
        <v>2667</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221966</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19960</v>
      </c>
      <c r="C2789" s="2" t="s">
        <v>573</v>
      </c>
      <c r="D2789" s="2" t="str">
        <f t="shared" si="42"/>
        <v>Error?</v>
      </c>
    </row>
    <row r="2790" spans="1:4" x14ac:dyDescent="0.2">
      <c r="A2790" s="5">
        <v>2729</v>
      </c>
      <c r="B2790" s="138">
        <f>'Expenditures 15-22'!E102</f>
        <v>19960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221966</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19960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19960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221966</v>
      </c>
      <c r="C3231" s="2" t="s">
        <v>573</v>
      </c>
      <c r="D3231" s="2" t="str">
        <f t="shared" si="49"/>
        <v>Error?</v>
      </c>
    </row>
    <row r="3232" spans="1:4" x14ac:dyDescent="0.2">
      <c r="A3232" s="5">
        <v>3171</v>
      </c>
      <c r="B3232" s="138">
        <f>'Acct Summary 7-8'!C77</f>
        <v>-221966</v>
      </c>
      <c r="C3232" s="2" t="s">
        <v>573</v>
      </c>
      <c r="D3232" s="2" t="str">
        <f t="shared" si="49"/>
        <v>Error?</v>
      </c>
    </row>
    <row r="3233" spans="1:4" x14ac:dyDescent="0.2">
      <c r="A3233" s="5">
        <v>3172</v>
      </c>
      <c r="B3233" s="138">
        <f>'Acct Summary 7-8'!C78</f>
        <v>-272973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221966</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221966</v>
      </c>
      <c r="C3261" s="2" t="s">
        <v>573</v>
      </c>
      <c r="D3261" s="2" t="str">
        <f t="shared" si="49"/>
        <v>Error?</v>
      </c>
    </row>
    <row r="3262" spans="1:4" x14ac:dyDescent="0.2">
      <c r="A3262" s="5">
        <v>3201</v>
      </c>
      <c r="B3262" s="138">
        <f>'Acct Summary 7-8'!G78</f>
        <v>222683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1010863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133919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11612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18343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1189161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76423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76423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552055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1180418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4810205</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118000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1180418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4861212</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117283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552055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23814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120918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38648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2222820</v>
      </c>
      <c r="D5082" s="2" t="str">
        <f t="shared" si="78"/>
        <v>Error?</v>
      </c>
    </row>
    <row r="5083" spans="1:4" x14ac:dyDescent="0.2">
      <c r="A5083" s="5">
        <v>5022</v>
      </c>
      <c r="B5083" s="138">
        <f>'Revenues 9-14'!C34</f>
        <v>189902</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2412722</v>
      </c>
      <c r="C5087" s="2" t="s">
        <v>573</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210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840</v>
      </c>
      <c r="D5119" s="2" t="str">
        <f t="shared" ref="D5119:D5182" si="79">IF(ISBLANK(B5119),"OK",IF(A5119-B5119=0,"OK","Error?"))</f>
        <v>Error?</v>
      </c>
    </row>
    <row r="5120" spans="1:4" x14ac:dyDescent="0.2">
      <c r="A5120" s="5">
        <v>5059</v>
      </c>
      <c r="B5120" s="138">
        <f>'Revenues 9-14'!C108</f>
        <v>1050</v>
      </c>
      <c r="C5120" s="2" t="s">
        <v>573</v>
      </c>
      <c r="D5120" s="2" t="str">
        <f t="shared" si="79"/>
        <v>Error?</v>
      </c>
    </row>
    <row r="5121" spans="1:4" x14ac:dyDescent="0.2">
      <c r="A5121" s="5">
        <v>5060</v>
      </c>
      <c r="B5121" s="138">
        <f>'Revenues 9-14'!C109</f>
        <v>2413772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314811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314811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38648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353459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14208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703616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717824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862556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862556</v>
      </c>
      <c r="C5326" s="2" t="s">
        <v>573</v>
      </c>
      <c r="D5326" s="2" t="str">
        <f t="shared" si="82"/>
        <v>Error?</v>
      </c>
    </row>
    <row r="5327" spans="1:5" x14ac:dyDescent="0.2">
      <c r="A5327" s="5">
        <v>5266</v>
      </c>
      <c r="B5327" s="138">
        <f>'Revenues 9-14'!C268</f>
        <v>3629787</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118000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118000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118000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118000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-272973</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222683</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-0.49446703679886966</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14424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14424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2199</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3161</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5360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3147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8507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680260</v>
      </c>
      <c r="D6983" s="2" t="str">
        <f t="shared" si="108"/>
        <v>Error?</v>
      </c>
    </row>
    <row r="6984" spans="1:4" x14ac:dyDescent="0.2">
      <c r="A6984">
        <v>6923</v>
      </c>
      <c r="B6984" s="138">
        <f>'Expenditures 15-22'!K86</f>
        <v>680260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680260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22931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22931</v>
      </c>
      <c r="D7624" s="2" t="str">
        <f t="shared" si="124"/>
        <v>Error?</v>
      </c>
      <c r="E7624" s="2" t="s">
        <v>19</v>
      </c>
    </row>
    <row r="7625" spans="1:5" x14ac:dyDescent="0.2">
      <c r="A7625">
        <f t="shared" si="123"/>
        <v>7564</v>
      </c>
      <c r="B7625" s="138">
        <f>'Cap Outlay Deprec 26'!I17</f>
        <v>2293.1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2293.1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3147</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1" t="s">
        <v>1191</v>
      </c>
      <c r="B2" s="2401"/>
      <c r="C2" s="2401"/>
      <c r="D2" s="2401"/>
      <c r="E2" s="2401"/>
      <c r="F2" s="2401"/>
      <c r="G2" s="2401"/>
      <c r="H2" s="2401"/>
      <c r="I2" s="2401"/>
      <c r="J2" s="2401"/>
      <c r="K2" s="2401"/>
      <c r="L2" s="2401"/>
    </row>
    <row r="3" spans="1:29" ht="13.5" customHeight="1" x14ac:dyDescent="0.2">
      <c r="A3" s="2387" t="s">
        <v>1190</v>
      </c>
      <c r="B3" s="2387"/>
      <c r="C3" s="2387"/>
      <c r="D3" s="2387"/>
      <c r="E3" s="2387"/>
      <c r="F3" s="2387"/>
      <c r="G3" s="2387"/>
      <c r="H3" s="2387"/>
      <c r="I3" s="2387"/>
      <c r="J3" s="2387"/>
      <c r="K3" s="2387"/>
      <c r="L3" s="2387"/>
    </row>
    <row r="4" spans="1:29" ht="13.5" customHeight="1" x14ac:dyDescent="0.2">
      <c r="A4" s="2401" t="s">
        <v>1989</v>
      </c>
      <c r="B4" s="2418"/>
      <c r="C4" s="2418"/>
      <c r="D4" s="2418"/>
      <c r="E4" s="2418"/>
      <c r="F4" s="2418"/>
      <c r="G4" s="2418"/>
      <c r="H4" s="2418"/>
      <c r="I4" s="2418"/>
      <c r="J4" s="2418"/>
      <c r="K4" s="2418"/>
      <c r="L4" s="241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1" t="str">
        <f>COVER!A17</f>
        <v>Plano Area Special Ed Coop</v>
      </c>
      <c r="B7" s="2382"/>
      <c r="C7" s="2382"/>
      <c r="D7" s="2419"/>
      <c r="E7" s="2420">
        <f>COVER!A13</f>
        <v>24047088061</v>
      </c>
      <c r="F7" s="2421"/>
      <c r="G7" s="2388" t="str">
        <f>COVER!T23</f>
        <v>065-037815</v>
      </c>
      <c r="H7" s="2389"/>
      <c r="I7" s="2389"/>
      <c r="J7" s="2389"/>
      <c r="K7" s="2389"/>
      <c r="L7" s="239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1"/>
      <c r="B9" s="2392"/>
      <c r="C9" s="2392"/>
      <c r="D9" s="2392"/>
      <c r="E9" s="2392"/>
      <c r="F9" s="2393"/>
      <c r="G9" s="2394" t="str">
        <f>COVER!T13</f>
        <v>Lauterbach &amp; Amen</v>
      </c>
      <c r="H9" s="2395"/>
      <c r="I9" s="2395"/>
      <c r="J9" s="2395"/>
      <c r="K9" s="2395"/>
      <c r="L9" s="2396"/>
    </row>
    <row r="10" spans="1:29" ht="13.5" customHeight="1" x14ac:dyDescent="0.2">
      <c r="A10" s="2378" t="str">
        <f>COVER!A38</f>
        <v>TONY BAKER</v>
      </c>
      <c r="B10" s="2379"/>
      <c r="C10" s="2379"/>
      <c r="D10" s="2379"/>
      <c r="E10" s="2379"/>
      <c r="F10" s="2380"/>
      <c r="G10" s="2394" t="str">
        <f>COVER!T17</f>
        <v>668 N. River Rd</v>
      </c>
      <c r="H10" s="2407"/>
      <c r="I10" s="2407"/>
      <c r="J10" s="2407"/>
      <c r="K10" s="2407"/>
      <c r="L10" s="2408"/>
    </row>
    <row r="11" spans="1:29" ht="13.5" customHeight="1" x14ac:dyDescent="0.2">
      <c r="A11" s="1184" t="s">
        <v>1519</v>
      </c>
      <c r="B11" s="1185"/>
      <c r="C11" s="1186"/>
      <c r="D11" s="1191"/>
      <c r="E11" s="1186"/>
      <c r="F11" s="1190"/>
      <c r="G11" s="2394" t="str">
        <f>COVER!T19</f>
        <v>Naperville</v>
      </c>
      <c r="H11" s="2407"/>
      <c r="I11" s="2407"/>
      <c r="J11" s="2407"/>
      <c r="K11" s="2407"/>
      <c r="L11" s="2408"/>
    </row>
    <row r="12" spans="1:29" ht="13.5" customHeight="1" x14ac:dyDescent="0.2">
      <c r="A12" s="2412" t="s">
        <v>1518</v>
      </c>
      <c r="B12" s="2413"/>
      <c r="C12" s="2413"/>
      <c r="D12" s="2413"/>
      <c r="E12" s="2413"/>
      <c r="F12" s="2414"/>
      <c r="G12" s="2409"/>
      <c r="H12" s="2410"/>
      <c r="I12" s="2410"/>
      <c r="J12" s="2410"/>
      <c r="K12" s="2410"/>
      <c r="L12" s="2411"/>
    </row>
    <row r="13" spans="1:29" ht="13.5" customHeight="1" x14ac:dyDescent="0.2">
      <c r="A13" s="2394"/>
      <c r="B13" s="2407"/>
      <c r="C13" s="2407"/>
      <c r="D13" s="2407"/>
      <c r="E13" s="2407"/>
      <c r="F13" s="2408"/>
      <c r="G13" s="2402" t="s">
        <v>1520</v>
      </c>
      <c r="H13" s="2403"/>
      <c r="I13" s="2415" t="str">
        <f>COVER!T25</f>
        <v>dshaw@lauterbachamen.com</v>
      </c>
      <c r="J13" s="2416"/>
      <c r="K13" s="2416"/>
      <c r="L13" s="2417"/>
    </row>
    <row r="14" spans="1:29" ht="13.5" customHeight="1" x14ac:dyDescent="0.2">
      <c r="A14" s="2394" t="str">
        <f>COVER!A19</f>
        <v>800 SOUTH HALE STREET</v>
      </c>
      <c r="B14" s="2407"/>
      <c r="C14" s="2407"/>
      <c r="D14" s="2407"/>
      <c r="E14" s="2407"/>
      <c r="F14" s="2408"/>
      <c r="G14" s="1195" t="s">
        <v>1185</v>
      </c>
      <c r="H14" s="1193"/>
      <c r="I14" s="1193"/>
      <c r="J14" s="1193"/>
      <c r="K14" s="1193"/>
      <c r="L14" s="1194"/>
    </row>
    <row r="15" spans="1:29" ht="13.5" customHeight="1" x14ac:dyDescent="0.2">
      <c r="A15" s="2394" t="str">
        <f>COVER!A21</f>
        <v>PLANO</v>
      </c>
      <c r="B15" s="2407"/>
      <c r="C15" s="2407"/>
      <c r="D15" s="2407"/>
      <c r="E15" s="2407"/>
      <c r="F15" s="2408"/>
      <c r="G15" s="2404" t="str">
        <f>COVER!T15</f>
        <v>Don Shaw</v>
      </c>
      <c r="H15" s="2405"/>
      <c r="I15" s="2405"/>
      <c r="J15" s="2405"/>
      <c r="K15" s="2405"/>
      <c r="L15" s="2406"/>
    </row>
    <row r="16" spans="1:29" ht="12.2" customHeight="1" x14ac:dyDescent="0.2">
      <c r="A16" s="2384">
        <f>COVER!A25</f>
        <v>60545</v>
      </c>
      <c r="B16" s="2385"/>
      <c r="C16" s="2385"/>
      <c r="D16" s="2385"/>
      <c r="E16" s="2385"/>
      <c r="F16" s="2386"/>
      <c r="G16" s="2397"/>
      <c r="H16" s="2398"/>
      <c r="I16" s="2398"/>
      <c r="J16" s="2398"/>
      <c r="K16" s="2398"/>
      <c r="L16" s="2399"/>
    </row>
    <row r="17" spans="1:13" ht="12.2" customHeight="1" x14ac:dyDescent="0.2">
      <c r="A17" s="2400"/>
      <c r="B17" s="2385"/>
      <c r="C17" s="2385"/>
      <c r="D17" s="2385"/>
      <c r="E17" s="2385"/>
      <c r="F17" s="2386"/>
      <c r="G17" s="1195" t="s">
        <v>1184</v>
      </c>
      <c r="H17" s="1193"/>
      <c r="I17" s="1193"/>
      <c r="J17" s="1193"/>
      <c r="K17" s="1197" t="s">
        <v>1183</v>
      </c>
      <c r="L17" s="1190"/>
      <c r="M17" s="1183"/>
    </row>
    <row r="18" spans="1:13" ht="12.2" customHeight="1" x14ac:dyDescent="0.2">
      <c r="A18" s="2378"/>
      <c r="B18" s="2379"/>
      <c r="C18" s="2379"/>
      <c r="D18" s="2379"/>
      <c r="E18" s="2379"/>
      <c r="F18" s="2380"/>
      <c r="G18" s="2381">
        <f>COVER!T21</f>
        <v>6303931483</v>
      </c>
      <c r="H18" s="2382"/>
      <c r="I18" s="2382"/>
      <c r="J18" s="2382"/>
      <c r="K18" s="2381">
        <f>COVER!X21</f>
        <v>6303932516</v>
      </c>
      <c r="L18" s="238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7"/>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Plano Area Special Ed Coop</v>
      </c>
      <c r="B1" s="2418"/>
      <c r="C1" s="2418"/>
      <c r="D1" s="2418"/>
    </row>
    <row r="2" spans="1:11" s="1212" customFormat="1" ht="12.75" x14ac:dyDescent="0.2">
      <c r="A2" s="2423">
        <f>'Single Audit Cover'!E7</f>
        <v>24047088061</v>
      </c>
      <c r="B2" s="2424"/>
      <c r="C2" s="2424"/>
      <c r="D2" s="2424"/>
    </row>
    <row r="3" spans="1:11" s="1212" customFormat="1" ht="12.75" x14ac:dyDescent="0.2">
      <c r="A3" s="2422" t="s">
        <v>1513</v>
      </c>
      <c r="B3" s="2418"/>
      <c r="C3" s="2418"/>
      <c r="D3" s="241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Plano Area Special Ed Coop</v>
      </c>
      <c r="B1" s="2426"/>
      <c r="C1" s="2426"/>
      <c r="D1" s="2426"/>
      <c r="E1" s="2426"/>
    </row>
    <row r="2" spans="1:5" x14ac:dyDescent="0.2">
      <c r="A2" s="2427">
        <f>'Single Audit Cover'!E7</f>
        <v>24047088061</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862556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-120918</v>
      </c>
    </row>
    <row r="19" spans="1:4" ht="13.5" thickBot="1" x14ac:dyDescent="0.25">
      <c r="A19" s="1262" t="s">
        <v>1235</v>
      </c>
      <c r="D19" s="1263">
        <f>SUM(D10:D17)</f>
        <v>741638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741638</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741638</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Plano Area Special Ed Coop</v>
      </c>
      <c r="C1" s="2430"/>
      <c r="D1" s="2430"/>
      <c r="E1" s="2430"/>
      <c r="F1" s="2430"/>
      <c r="G1" s="2430"/>
      <c r="H1" s="2430"/>
      <c r="I1" s="2430"/>
      <c r="J1" s="2430"/>
      <c r="K1" s="2430"/>
      <c r="L1" s="2430"/>
      <c r="M1" s="2430"/>
    </row>
    <row r="2" spans="2:14" ht="15" x14ac:dyDescent="0.2">
      <c r="B2" s="2431">
        <f>'Single Audit Cover'!E7</f>
        <v>24047088061</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5" t="str">
        <f>'Single Audit Cover'!A7</f>
        <v>Plano Area Special Ed Coop</v>
      </c>
      <c r="B1" s="2435"/>
      <c r="C1" s="2435"/>
      <c r="D1" s="2435"/>
      <c r="E1" s="2435"/>
      <c r="F1" s="2435"/>
    </row>
    <row r="2" spans="1:7" ht="13.5" customHeight="1" x14ac:dyDescent="0.2">
      <c r="A2" s="2431">
        <f>'Single Audit Cover'!E7</f>
        <v>24047088061</v>
      </c>
      <c r="B2" s="2431"/>
      <c r="C2" s="2431"/>
      <c r="D2" s="2431"/>
      <c r="E2" s="2431"/>
      <c r="F2" s="2431"/>
      <c r="G2" s="1272"/>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7"/>
      <c r="D5" s="317"/>
    </row>
    <row r="6" spans="1:7" ht="13.5" customHeight="1" x14ac:dyDescent="0.2">
      <c r="A6" s="1273" t="s">
        <v>1728</v>
      </c>
      <c r="C6" s="317"/>
      <c r="D6" s="317"/>
    </row>
    <row r="7" spans="1:7" ht="60.95" customHeight="1" x14ac:dyDescent="0.2">
      <c r="A7" s="2434" t="s">
        <v>1729</v>
      </c>
      <c r="B7" s="2434"/>
      <c r="C7" s="2434"/>
      <c r="D7" s="2434"/>
      <c r="E7" s="2434"/>
      <c r="F7" s="243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4" t="s">
        <v>1731</v>
      </c>
      <c r="B13" s="2434"/>
      <c r="C13" s="2434"/>
      <c r="D13" s="2434"/>
      <c r="E13" s="2434"/>
      <c r="F13" s="2434"/>
    </row>
    <row r="14" spans="1:7" ht="9.75" customHeight="1" x14ac:dyDescent="0.2">
      <c r="C14" s="1257"/>
      <c r="D14" s="1257"/>
    </row>
    <row r="15" spans="1:7" ht="13.5" customHeight="1" x14ac:dyDescent="0.2">
      <c r="C15" s="1846" t="s">
        <v>1270</v>
      </c>
      <c r="D15" s="2439" t="s">
        <v>1269</v>
      </c>
      <c r="E15" s="2439"/>
      <c r="F15" s="2439"/>
    </row>
    <row r="16" spans="1:7" ht="13.5" customHeight="1" x14ac:dyDescent="0.2">
      <c r="A16" s="1279"/>
      <c r="B16" s="1273" t="s">
        <v>1268</v>
      </c>
      <c r="C16" s="1846" t="s">
        <v>1267</v>
      </c>
      <c r="D16" s="2440" t="s">
        <v>1588</v>
      </c>
      <c r="E16" s="2440"/>
      <c r="F16" s="2440"/>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Plano Area Special Ed Coop</v>
      </c>
      <c r="C1" s="2451"/>
      <c r="D1" s="2451"/>
      <c r="E1" s="2451"/>
      <c r="F1" s="2451"/>
      <c r="G1" s="2451"/>
      <c r="H1" s="2451"/>
      <c r="I1" s="2451"/>
      <c r="J1" s="1406"/>
    </row>
    <row r="2" spans="2:10" s="317" customFormat="1" ht="12.75" customHeight="1" x14ac:dyDescent="0.2">
      <c r="B2" s="2452">
        <f>'Single Audit Cover'!E7</f>
        <v>24047088061</v>
      </c>
      <c r="C2" s="2453"/>
      <c r="D2" s="2453"/>
      <c r="E2" s="2453"/>
      <c r="F2" s="2453"/>
      <c r="G2" s="2453"/>
      <c r="H2" s="2453"/>
      <c r="I2" s="2453"/>
      <c r="J2" s="1406"/>
    </row>
    <row r="3" spans="2:10" s="317" customFormat="1" ht="12.75" customHeight="1" x14ac:dyDescent="0.2">
      <c r="B3" s="2454" t="s">
        <v>1285</v>
      </c>
      <c r="C3" s="2455"/>
      <c r="D3" s="2455"/>
      <c r="E3" s="2455"/>
      <c r="F3" s="2455"/>
      <c r="G3" s="2455"/>
      <c r="H3" s="2455"/>
      <c r="I3" s="2455"/>
      <c r="J3" s="1407"/>
    </row>
    <row r="4" spans="2:10" s="317" customFormat="1" ht="12.75" customHeight="1" x14ac:dyDescent="0.2">
      <c r="B4" s="2454" t="str">
        <f>'Single Audit Cover'!A4</f>
        <v>Year Ending June 30, 2019</v>
      </c>
      <c r="C4" s="2455"/>
      <c r="D4" s="2455"/>
      <c r="E4" s="2455"/>
      <c r="F4" s="2455"/>
      <c r="G4" s="2455"/>
      <c r="H4" s="2455"/>
      <c r="I4" s="245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4" t="s">
        <v>1284</v>
      </c>
      <c r="C7" s="2455"/>
      <c r="D7" s="2455"/>
      <c r="E7" s="2455"/>
      <c r="F7" s="2455"/>
      <c r="G7" s="2455"/>
      <c r="H7" s="2455"/>
      <c r="I7" s="245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6"/>
      <c r="D11" s="245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7"/>
      <c r="E29" s="2457"/>
      <c r="F29" s="2457"/>
      <c r="G29" s="2457"/>
      <c r="H29" s="2457"/>
      <c r="I29" s="245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8" t="s">
        <v>1751</v>
      </c>
      <c r="D37" s="2459"/>
      <c r="E37" s="2459"/>
      <c r="F37" s="2460"/>
      <c r="G37" s="2458" t="s">
        <v>1592</v>
      </c>
      <c r="H37" s="2459"/>
      <c r="I37" s="2460"/>
    </row>
    <row r="38" spans="2:9" ht="16.5" customHeight="1" x14ac:dyDescent="0.2">
      <c r="B38" s="1428"/>
      <c r="C38" s="2446"/>
      <c r="D38" s="2447"/>
      <c r="E38" s="2447"/>
      <c r="F38" s="2448"/>
      <c r="G38" s="2461"/>
      <c r="H38" s="2462"/>
      <c r="I38" s="2463"/>
    </row>
    <row r="39" spans="2:9" ht="16.5" customHeight="1" x14ac:dyDescent="0.2">
      <c r="B39" s="1428"/>
      <c r="C39" s="2446"/>
      <c r="D39" s="2447"/>
      <c r="E39" s="2447"/>
      <c r="F39" s="2448"/>
      <c r="G39" s="2449"/>
      <c r="H39" s="2449"/>
      <c r="I39" s="2449"/>
    </row>
    <row r="40" spans="2:9" ht="16.5" customHeight="1" x14ac:dyDescent="0.2">
      <c r="B40" s="1428"/>
      <c r="C40" s="2446"/>
      <c r="D40" s="2447"/>
      <c r="E40" s="2447"/>
      <c r="F40" s="2448"/>
      <c r="G40" s="2449"/>
      <c r="H40" s="2449"/>
      <c r="I40" s="2449"/>
    </row>
    <row r="41" spans="2:9" ht="16.5" customHeight="1" x14ac:dyDescent="0.2">
      <c r="B41" s="1428"/>
      <c r="C41" s="2446"/>
      <c r="D41" s="2447"/>
      <c r="E41" s="2447"/>
      <c r="F41" s="2448"/>
      <c r="G41" s="2449"/>
      <c r="H41" s="2449"/>
      <c r="I41" s="2449"/>
    </row>
    <row r="42" spans="2:9" ht="16.5" customHeight="1" x14ac:dyDescent="0.2">
      <c r="B42" s="1428"/>
      <c r="C42" s="2446"/>
      <c r="D42" s="2447"/>
      <c r="E42" s="2447"/>
      <c r="F42" s="2448"/>
      <c r="G42" s="2449"/>
      <c r="H42" s="2449"/>
      <c r="I42" s="2449"/>
    </row>
    <row r="43" spans="2:9" ht="16.5" customHeight="1" x14ac:dyDescent="0.2">
      <c r="B43" s="1428"/>
      <c r="C43" s="2464" t="s">
        <v>1593</v>
      </c>
      <c r="D43" s="2465"/>
      <c r="E43" s="2465"/>
      <c r="F43" s="2466"/>
      <c r="G43" s="2467">
        <f>SUM(G38:I42)</f>
        <v>0</v>
      </c>
      <c r="H43" s="2467"/>
      <c r="I43" s="2467"/>
    </row>
    <row r="44" spans="2:9" ht="12.75" customHeight="1" x14ac:dyDescent="0.2"/>
    <row r="45" spans="2:9" ht="12.75" customHeight="1" x14ac:dyDescent="0.2">
      <c r="B45" s="1419" t="s">
        <v>1841</v>
      </c>
      <c r="D45" s="2468">
        <v>0</v>
      </c>
      <c r="E45" s="2469"/>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0"/>
      <c r="F49" s="2470"/>
      <c r="G49" s="2470"/>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Plano Area Special Ed Coop</v>
      </c>
      <c r="C1" s="2450"/>
      <c r="D1" s="2450"/>
      <c r="E1" s="2450"/>
      <c r="F1" s="2450"/>
      <c r="G1" s="2450"/>
      <c r="H1" s="2450"/>
      <c r="I1" s="2450"/>
      <c r="J1" s="2450"/>
      <c r="K1" s="2450"/>
      <c r="L1" s="1371"/>
      <c r="M1" s="1371"/>
    </row>
    <row r="2" spans="1:13" ht="12" customHeight="1" x14ac:dyDescent="0.2">
      <c r="B2" s="2452">
        <f>'Single Audit Cover'!E7</f>
        <v>24047088061</v>
      </c>
      <c r="C2" s="2452"/>
      <c r="D2" s="2452"/>
      <c r="E2" s="2452"/>
      <c r="F2" s="2452"/>
      <c r="G2" s="2452"/>
      <c r="H2" s="2452"/>
      <c r="I2" s="2452"/>
      <c r="J2" s="2452"/>
      <c r="K2" s="2452"/>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Plano Area Special Ed Coop</v>
      </c>
      <c r="C1" s="2477"/>
      <c r="D1" s="2477"/>
      <c r="E1" s="2477"/>
      <c r="F1" s="2477"/>
      <c r="G1" s="2477"/>
      <c r="H1" s="2477"/>
      <c r="I1" s="2477"/>
      <c r="J1" s="2477"/>
      <c r="K1" s="2477"/>
      <c r="L1" s="1449"/>
    </row>
    <row r="2" spans="1:12" ht="12.75" customHeight="1" x14ac:dyDescent="0.2">
      <c r="B2" s="2478">
        <f>'Single Audit Cover'!E7</f>
        <v>24047088061</v>
      </c>
      <c r="C2" s="2478"/>
      <c r="D2" s="2478"/>
      <c r="E2" s="2478"/>
      <c r="F2" s="2478"/>
      <c r="G2" s="2478"/>
      <c r="H2" s="2478"/>
      <c r="I2" s="2478"/>
      <c r="J2" s="2478"/>
      <c r="K2" s="2478"/>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7"/>
      <c r="G12" s="2457"/>
      <c r="H12" s="2457"/>
      <c r="I12" s="2457"/>
      <c r="J12" s="2457"/>
      <c r="K12" s="245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0" t="str">
        <f>'Single Audit Cover'!A7</f>
        <v>Plano Area Special Ed Coop</v>
      </c>
      <c r="C1" s="2450"/>
      <c r="D1" s="2450"/>
      <c r="E1" s="1469"/>
    </row>
    <row r="2" spans="2:5" s="1279" customFormat="1" ht="12.75" customHeight="1" x14ac:dyDescent="0.2">
      <c r="B2" s="2452">
        <f>'Single Audit Cover'!E7</f>
        <v>24047088061</v>
      </c>
      <c r="C2" s="2452"/>
      <c r="D2" s="2452"/>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documentManagement/types"/>
    <ds:schemaRef ds:uri="http://purl.org/dc/dcmitype/"/>
    <ds:schemaRef ds:uri="4d435f69-8686-490b-bd6d-b153bf22ab50"/>
    <ds:schemaRef ds:uri="http://www.w3.org/XML/1998/namespace"/>
    <ds:schemaRef ds:uri="http://purl.org/dc/terms/"/>
    <ds:schemaRef ds:uri="http://schemas.openxmlformats.org/package/2006/metadata/core-properties"/>
    <ds:schemaRef ds:uri="http://schemas.microsoft.com/office/2006/metadata/properties"/>
    <ds:schemaRef ds:uri="6ce3111e-7420-4802-b50a-75d4e9a0b980"/>
    <ds:schemaRef ds:uri="d21dc803-237d-4c68-8692-8d731fd29118"/>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2019-12-09T19:51:22Z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RFF</vt:lpwstr>
  </property>
  <property fmtid="{D5CDD505-2E9C-101B-9397-08002B2CF9AE}" pid="6" name="workpaperIndex">
    <vt:lpwstr>RFF 3</vt:lpwstr>
  </property>
</Properties>
</file>