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Joint Agreements 19\"/>
    </mc:Choice>
  </mc:AlternateContent>
  <bookViews>
    <workbookView xWindow="-120" yWindow="-120" windowWidth="29040" windowHeight="1599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F&amp;QC Sec-3 (2)" sheetId="184" r:id="rId34"/>
    <sheet name="SF&amp;QC Sec-3 (3)" sheetId="185" r:id="rId35"/>
    <sheet name="SSPAF" sheetId="177" r:id="rId36"/>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33">'SF&amp;QC Sec-3 (2)'!$A$1:$K$48</definedName>
    <definedName name="_xlnm.Print_Area" localSheetId="34">'SF&amp;QC Sec-3 (3)'!$A$1:$K$48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15" i="179" l="1"/>
  <c r="J22" i="179"/>
  <c r="H22" i="179"/>
  <c r="H83" i="29" l="1"/>
  <c r="B4" i="185" l="1"/>
  <c r="B4" i="184"/>
  <c r="B4" i="183"/>
  <c r="M22" i="179"/>
  <c r="I22" i="179"/>
  <c r="G22" i="179"/>
  <c r="F22" i="179"/>
  <c r="E22" i="179"/>
  <c r="L23" i="179"/>
  <c r="L24" i="179"/>
  <c r="L25" i="17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2" i="179"/>
  <c r="L21" i="179"/>
  <c r="L20" i="179"/>
  <c r="L19" i="179"/>
  <c r="L18" i="179"/>
  <c r="L17" i="179"/>
  <c r="L16"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5"/>
  <c r="B1" i="183"/>
  <c r="B2" i="179"/>
  <c r="B2" i="185"/>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6833" i="106" s="1"/>
  <c r="D6833" i="106" s="1"/>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K94" i="29"/>
  <c r="K95" i="29"/>
  <c r="B7001" i="106" s="1"/>
  <c r="D7001" i="106" s="1"/>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4" i="106"/>
  <c r="D7004" i="106" s="1"/>
  <c r="B7005" i="106"/>
  <c r="D7005" i="106" s="1"/>
  <c r="B7006" i="106"/>
  <c r="D7006" i="106" s="1"/>
  <c r="B7007" i="106"/>
  <c r="D7007" i="106" s="1"/>
  <c r="B7008" i="106"/>
  <c r="D7008" i="106" s="1"/>
  <c r="B7009" i="106"/>
  <c r="D7009" i="106" s="1"/>
  <c r="B7010" i="106"/>
  <c r="D7010"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E26" i="108"/>
  <c r="G26" i="108"/>
  <c r="D27" i="108"/>
  <c r="E27" i="108"/>
  <c r="F27" i="108"/>
  <c r="G27" i="108"/>
  <c r="F31" i="108"/>
  <c r="F36" i="108"/>
  <c r="G28" i="108"/>
  <c r="G30" i="108"/>
  <c r="D31" i="108"/>
  <c r="D36" i="108"/>
  <c r="E31" i="108"/>
  <c r="G31"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B1274" i="106" l="1"/>
  <c r="D1274" i="106" s="1"/>
  <c r="I129" i="29"/>
  <c r="B7037" i="106" s="1"/>
  <c r="D7037" i="106" s="1"/>
  <c r="E34" i="108"/>
  <c r="E33" i="108"/>
  <c r="G15" i="145"/>
  <c r="B1124" i="106"/>
  <c r="D1124" i="106" s="1"/>
  <c r="D69" i="36"/>
  <c r="L22" i="37"/>
  <c r="F34" i="34"/>
  <c r="G29" i="108"/>
  <c r="H342" i="29"/>
  <c r="B7221" i="106" s="1"/>
  <c r="D7221" i="106" s="1"/>
  <c r="J41" i="3"/>
  <c r="H76" i="4"/>
  <c r="B3298" i="106" s="1"/>
  <c r="D3298" i="106" s="1"/>
  <c r="H33" i="118"/>
  <c r="K76" i="4"/>
  <c r="B3586" i="106" s="1"/>
  <c r="D3586" i="106" s="1"/>
  <c r="D22" i="37"/>
  <c r="F38" i="34"/>
  <c r="J210" i="29"/>
  <c r="B7072" i="106" s="1"/>
  <c r="D7072" i="106" s="1"/>
  <c r="F77" i="4"/>
  <c r="B3255" i="106" s="1"/>
  <c r="D3255" i="106" s="1"/>
  <c r="F67" i="34"/>
  <c r="B3647" i="106"/>
  <c r="D3647" i="106" s="1"/>
  <c r="D24" i="37"/>
  <c r="B4270" i="106" s="1"/>
  <c r="D4270" i="106" s="1"/>
  <c r="F42" i="34"/>
  <c r="L13" i="11"/>
  <c r="B2060" i="106" s="1"/>
  <c r="D2060" i="106" s="1"/>
  <c r="J22" i="37"/>
  <c r="C342" i="29"/>
  <c r="B7216" i="106" s="1"/>
  <c r="D7216" i="106" s="1"/>
  <c r="F19" i="7"/>
  <c r="B1807" i="106" s="1"/>
  <c r="D1807" i="106" s="1"/>
  <c r="E38" i="108"/>
  <c r="F28" i="108"/>
  <c r="F50" i="34"/>
  <c r="I210" i="29"/>
  <c r="B7071" i="106" s="1"/>
  <c r="D7071" i="106" s="1"/>
  <c r="J77" i="4"/>
  <c r="B6262" i="106" s="1"/>
  <c r="D6262" i="106" s="1"/>
  <c r="K184" i="29"/>
  <c r="F13" i="4" s="1"/>
  <c r="B2596" i="106" s="1"/>
  <c r="D2596" i="106" s="1"/>
  <c r="G210" i="29"/>
  <c r="C129" i="29"/>
  <c r="C151" i="29" s="1"/>
  <c r="B1226" i="106" s="1"/>
  <c r="D1226" i="106" s="1"/>
  <c r="L367" i="29"/>
  <c r="L5" i="11"/>
  <c r="B2056" i="106" s="1"/>
  <c r="D2056" i="106" s="1"/>
  <c r="F46" i="34"/>
  <c r="J352" i="29"/>
  <c r="J367" i="29" s="1"/>
  <c r="B7245" i="106" s="1"/>
  <c r="D7245" i="106" s="1"/>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F41" i="108" s="1"/>
  <c r="G43" i="108" s="1"/>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H77" i="4" l="1"/>
  <c r="B3299" i="106" s="1"/>
  <c r="D3299" i="106" s="1"/>
  <c r="D7256" i="106"/>
  <c r="D7250" i="106"/>
  <c r="B1328" i="106"/>
  <c r="D1328" i="106" s="1"/>
  <c r="K77" i="4"/>
  <c r="B3587" i="106" s="1"/>
  <c r="D3587" i="106" s="1"/>
  <c r="D41" i="108"/>
  <c r="E43" i="108" s="1"/>
  <c r="D7251" i="106"/>
  <c r="K365" i="29"/>
  <c r="L114" i="29"/>
  <c r="F66" i="34"/>
  <c r="B1381" i="106"/>
  <c r="D1381" i="106" s="1"/>
  <c r="B1266" i="106"/>
  <c r="D1266" i="106" s="1"/>
  <c r="L16" i="11"/>
  <c r="B2061" i="106" s="1"/>
  <c r="D2061" i="106" s="1"/>
  <c r="B1225" i="106"/>
  <c r="D1225" i="106" s="1"/>
  <c r="C114" i="29"/>
  <c r="B757" i="106" s="1"/>
  <c r="D757" i="106" s="1"/>
  <c r="B5778" i="106"/>
  <c r="D5778" i="106" s="1"/>
  <c r="G6" i="4"/>
  <c r="B2604" i="106" s="1"/>
  <c r="D2604" i="106" s="1"/>
  <c r="K342" i="29"/>
  <c r="F13" i="34" s="1"/>
  <c r="B5770" i="106"/>
  <c r="D5770" i="106"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B1145" i="106"/>
  <c r="D1145"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<sst xmlns="http://schemas.openxmlformats.org/spreadsheetml/2006/main" count="5280" uniqueCount="2184">
  <si>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</si>
  <si>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</si>
  <si>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</si>
  <si>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</si>
  <si>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</si>
  <si>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</si>
  <si>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</si>
  <si>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</si>
  <si>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</si>
  <si>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</si>
  <si>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</si>
  <si>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</si>
  <si>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</si>
  <si>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</si>
  <si>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</si>
  <si>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</si>
  <si>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</si>
  <si>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</si>
  <si>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</si>
  <si>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</si>
  <si>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</si>
  <si>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</si>
  <si>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</si>
  <si>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</si>
  <si>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</si>
  <si>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</si>
  <si>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</si>
  <si>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</si>
  <si>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</si>
  <si>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</si>
  <si>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</si>
  <si>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</si>
  <si>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</si>
  <si>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</si>
  <si>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</si>
  <si>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</si>
  <si>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</si>
  <si>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</si>
  <si>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</si>
  <si>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</si>
  <si>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</si>
  <si>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</si>
  <si>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</si>
  <si>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</si>
  <si>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</si>
  <si>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</si>
  <si>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</si>
  <si>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</si>
  <si>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</si>
  <si>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</si>
  <si>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</si>
  <si>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</si>
  <si>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</si>
  <si>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</si>
  <si>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</si>
  <si>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</si>
  <si>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</si>
  <si>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</si>
  <si>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</si>
  <si>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</si>
  <si>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</si>
  <si>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</si>
  <si>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</si>
  <si>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</si>
  <si>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</si>
  <si>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</si>
  <si>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</si>
  <si>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</si>
  <si>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</si>
  <si>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</si>
  <si>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</si>
  <si>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</si>
  <si>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</si>
  <si>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</si>
  <si>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</si>
  <si>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</si>
  <si>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</si>
  <si>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</si>
  <si>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</si>
  <si>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</si>
  <si>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</si>
  <si>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</si>
  <si>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</si>
  <si>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</si>
  <si>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</si>
  <si>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</si>
  <si>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</si>
  <si>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</si>
  <si>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</si>
  <si>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</si>
  <si>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</si>
  <si>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</si>
  <si>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</si>
  <si>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</si>
  <si>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</si>
  <si>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</si>
  <si>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</si>
  <si>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</si>
  <si>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</si>
  <si>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</si>
  <si>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</si>
  <si>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</si>
  <si>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</si>
  <si>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</si>
  <si>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</si>
  <si>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</si>
  <si>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</si>
  <si>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</si>
  <si>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</si>
  <si>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</si>
  <si>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</si>
  <si>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</si>
  <si>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</si>
  <si>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</si>
  <si>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</si>
  <si>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</si>
  <si>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</si>
  <si>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</si>
  <si>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</si>
  <si>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</si>
  <si>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</si>
  <si>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</si>
  <si>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</si>
  <si>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</si>
  <si>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</si>
  <si>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</si>
  <si>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</si>
  <si>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</si>
  <si>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</si>
  <si>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</si>
  <si>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</si>
  <si>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</si>
  <si>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</si>
  <si>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</si>
  <si>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</si>
  <si>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</si>
  <si>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</si>
  <si>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</si>
  <si>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</si>
  <si>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</si>
  <si>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</si>
  <si>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</si>
  <si>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</si>
  <si>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</si>
  <si>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</si>
  <si>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</si>
  <si>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</si>
  <si>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</si>
  <si>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</si>
  <si>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</si>
  <si>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</si>
  <si>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</si>
  <si>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</si>
  <si>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</si>
  <si>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</si>
  <si>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</si>
  <si>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</si>
  <si>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</si>
  <si>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</si>
  <si>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</si>
  <si>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</si>
  <si>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</si>
  <si>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</si>
  <si>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</si>
  <si>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</si>
  <si>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</si>
  <si>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</si>
  <si>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</si>
  <si>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</si>
  <si>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</si>
  <si>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</si>
  <si>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</si>
  <si>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</si>
  <si>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</si>
  <si>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</si>
  <si>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</si>
  <si>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</si>
  <si>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</si>
  <si>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</si>
  <si>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</si>
  <si>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</si>
  <si>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</si>
  <si>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</si>
  <si>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</si>
  <si>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</si>
  <si>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</si>
  <si>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</si>
  <si>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</si>
  <si>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</si>
  <si>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</si>
  <si>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</si>
  <si>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</si>
  <si>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</si>
  <si>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</si>
  <si>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</si>
  <si>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</si>
  <si>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</si>
  <si>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</si>
  <si>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</si>
  <si>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</si>
  <si>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</si>
  <si>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</si>
  <si>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</si>
  <si>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</si>
  <si>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</si>
  <si>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</si>
  <si>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</si>
  <si>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</si>
  <si>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</si>
  <si>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</si>
  <si>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</si>
  <si>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</si>
  <si>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</si>
  <si>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</si>
  <si>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</si>
  <si>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</si>
  <si>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</si>
  <si>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</si>
  <si>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</si>
  <si>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</si>
  <si>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</si>
  <si>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</si>
  <si>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</si>
  <si>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</si>
  <si>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</si>
  <si>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</si>
  <si>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</si>
  <si>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</si>
  <si>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</si>
  <si>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</si>
  <si>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</si>
  <si>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</si>
  <si>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</si>
  <si>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</si>
  <si>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</si>
  <si>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</si>
  <si>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</si>
  <si>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</si>
  <si>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</si>
  <si>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</si>
  <si>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</si>
  <si>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</si>
  <si>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</si>
  <si>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</si>
  <si>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</si>
  <si>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</si>
  <si>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</si>
  <si>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</si>
  <si>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</si>
  <si>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</si>
  <si>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</si>
  <si>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</si>
  <si>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</si>
  <si>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</si>
  <si>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</si>
  <si>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</si>
  <si>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</si>
  <si>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</si>
  <si>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</si>
  <si>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</si>
  <si>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</si>
  <si>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</si>
  <si>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</si>
  <si>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</si>
  <si>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</si>
  <si>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</si>
  <si>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</si>
  <si>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</si>
  <si>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</si>
  <si>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</si>
  <si>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</si>
  <si>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</si>
  <si>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</si>
  <si>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</si>
  <si>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</si>
  <si>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</si>
  <si>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</si>
  <si>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</si>
  <si>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</si>
  <si>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</si>
  <si>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</si>
  <si>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</si>
  <si>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</si>
  <si>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</si>
  <si>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</si>
  <si>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</si>
  <si>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</si>
  <si>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</si>
  <si>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</si>
  <si>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</si>
  <si>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</si>
  <si>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</si>
  <si>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</si>
  <si>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</si>
  <si>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</si>
  <si>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</si>
  <si>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</si>
  <si>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</si>
  <si>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</si>
  <si>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</si>
  <si>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</si>
  <si>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</si>
  <si>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</si>
  <si>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</si>
  <si>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</si>
  <si>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</si>
  <si>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</si>
  <si>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</si>
  <si>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</si>
  <si>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</si>
  <si>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</si>
  <si>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</si>
  <si>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</si>
  <si>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</si>
  <si>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</si>
  <si>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</si>
  <si>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</si>
  <si>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</si>
  <si>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</si>
  <si>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</si>
  <si>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</si>
  <si>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</si>
  <si>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</si>
  <si>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</si>
  <si>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</si>
  <si>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</si>
  <si>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</si>
  <si>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</si>
  <si>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</si>
  <si>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</si>
  <si>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</si>
  <si>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</si>
  <si>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</si>
  <si>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</si>
  <si>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</si>
  <si>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</si>
  <si>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</si>
  <si>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</si>
  <si>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</si>
  <si>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</si>
  <si>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</si>
  <si>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</si>
  <si>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</si>
  <si>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</si>
  <si>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</si>
  <si>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</si>
  <si>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</si>
  <si>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</si>
  <si>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</si>
  <si>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</si>
  <si>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</si>
  <si>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</si>
  <si>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</si>
  <si>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</si>
  <si>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</si>
  <si>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</si>
  <si>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</si>
  <si>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</si>
  <si>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</si>
  <si>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</si>
  <si>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</si>
  <si>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</si>
  <si>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</si>
  <si>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</si>
  <si>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</si>
  <si>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</si>
  <si>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</si>
  <si>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</si>
  <si>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</si>
  <si>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</si>
  <si>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</si>
  <si>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</si>
  <si>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</si>
  <si>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</si>
  <si>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</si>
  <si>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</si>
  <si>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</si>
  <si>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</si>
  <si>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</si>
  <si>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</si>
  <si>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</si>
  <si>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</si>
  <si>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</si>
  <si>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</si>
  <si>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</si>
  <si>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</si>
  <si>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</si>
  <si>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</si>
  <si>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</si>
  <si>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</si>
  <si>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</si>
  <si>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</si>
  <si>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</si>
  <si>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</si>
  <si>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</si>
  <si>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</si>
  <si>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</si>
  <si>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</si>
  <si>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</si>
  <si>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</si>
  <si>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</si>
  <si>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</si>
  <si>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</si>
  <si>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</si>
  <si>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</si>
  <si>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</si>
  <si>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</si>
  <si>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</si>
  <si>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</si>
  <si>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</si>
  <si>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</si>
  <si>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</si>
  <si>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</si>
  <si>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</si>
  <si>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</si>
  <si>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</si>
  <si>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</si>
  <si>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</si>
  <si>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</si>
  <si>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</si>
  <si>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</si>
  <si>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</si>
  <si>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</si>
  <si>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</si>
  <si>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</si>
  <si>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</si>
  <si>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</si>
  <si>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</si>
  <si>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</si>
  <si>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</si>
  <si>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</si>
  <si>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</si>
  <si>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</si>
  <si>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</si>
  <si>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</si>
  <si>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</si>
  <si>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</si>
  <si>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</si>
  <si>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</si>
  <si>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</si>
  <si>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</si>
  <si>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</si>
  <si>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</si>
  <si>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</si>
  <si>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</si>
  <si>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</si>
  <si>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</si>
  <si>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</si>
  <si>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</si>
  <si>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</si>
  <si>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</si>
  <si>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</si>
  <si>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</si>
  <si>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</si>
  <si>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</si>
  <si>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</si>
  <si>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</si>
  <si>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</si>
  <si>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</si>
  <si>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</si>
  <si>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</si>
  <si>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</si>
  <si>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</si>
  <si>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</si>
  <si>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</si>
  <si>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</si>
  <si>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</si>
  <si>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</si>
  <si>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</si>
  <si>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</si>
  <si>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</si>
  <si>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</si>
  <si>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</si>
  <si>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</si>
  <si>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</si>
  <si>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</si>
  <si>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</si>
  <si>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</si>
  <si>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</si>
  <si>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</si>
  <si>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</si>
  <si>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</si>
  <si>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</si>
  <si>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</si>
  <si>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</si>
  <si>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</si>
  <si>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</si>
  <si>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</si>
  <si>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</si>
  <si>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</si>
  <si>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</si>
  <si>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</si>
  <si>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</si>
  <si>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</si>
  <si>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</si>
  <si>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</si>
  <si>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</si>
  <si>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</si>
  <si>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</si>
  <si>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</si>
  <si>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</si>
  <si>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</si>
  <si>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</si>
  <si>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</si>
  <si>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</si>
  <si>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</si>
  <si>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</si>
  <si>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</si>
  <si>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</si>
  <si>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</si>
  <si>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</si>
  <si>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</si>
  <si>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</si>
  <si>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</si>
  <si>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</si>
  <si>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</si>
  <si>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</si>
  <si>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</si>
  <si>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</si>
  <si>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</si>
  <si>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</si>
  <si>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</si>
  <si>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</si>
  <si>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</si>
  <si>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</si>
  <si>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</si>
  <si>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</si>
  <si>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</si>
  <si>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</si>
  <si>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</si>
  <si>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</si>
  <si>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</si>
  <si>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</si>
  <si>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</si>
  <si>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</si>
  <si>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</si>
  <si>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</si>
  <si>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</si>
  <si>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</si>
  <si>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</si>
  <si>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</si>
  <si>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</si>
  <si>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</si>
  <si>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</si>
  <si>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</si>
  <si>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</si>
  <si>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</si>
  <si>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</si>
  <si>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</si>
  <si>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</si>
  <si>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</si>
  <si>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</si>
  <si>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</si>
  <si>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</si>
  <si>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</si>
  <si>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</si>
  <si>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</si>
  <si>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</si>
  <si>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</si>
  <si>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</si>
  <si>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</si>
  <si>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</si>
  <si>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</si>
  <si>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</si>
  <si>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</si>
  <si>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</si>
  <si>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</si>
  <si>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</si>
  <si>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</si>
  <si>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</si>
  <si>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</si>
  <si>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</si>
  <si>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</si>
  <si>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</si>
  <si>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</si>
  <si>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</si>
  <si>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</si>
  <si>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</si>
  <si>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</si>
  <si>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</si>
  <si>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</si>
  <si>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</si>
  <si>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</si>
  <si>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</si>
  <si>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</si>
  <si>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</si>
  <si>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</si>
  <si>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</si>
  <si>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</si>
  <si>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</si>
  <si>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</si>
  <si>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</si>
  <si>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</si>
  <si>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</si>
  <si>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</si>
  <si>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</si>
  <si>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</si>
  <si>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</si>
  <si>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</si>
  <si>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</si>
  <si>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</si>
  <si>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</si>
  <si>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</si>
  <si>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</si>
  <si>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</si>
  <si>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</si>
  <si>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</si>
  <si>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</si>
  <si>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</si>
  <si>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</si>
  <si>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</si>
  <si>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</si>
  <si>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</si>
  <si>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</si>
  <si>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</si>
  <si>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</si>
  <si>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</si>
  <si>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</si>
  <si>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</si>
  <si>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</si>
  <si>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</si>
  <si>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</si>
  <si>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</si>
  <si>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</si>
  <si>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</si>
  <si>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</si>
  <si>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</si>
  <si>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</si>
  <si>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</si>
  <si>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</si>
  <si>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</si>
  <si>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</si>
  <si>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</si>
  <si>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</si>
  <si>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</si>
  <si>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</si>
  <si>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</si>
  <si>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</si>
  <si>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</si>
  <si>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</si>
  <si>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</si>
  <si>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</si>
  <si>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</si>
  <si>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</si>
  <si>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</si>
  <si>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</si>
  <si>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</si>
  <si>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</si>
  <si>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</si>
  <si>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</si>
  <si>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</si>
  <si>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</si>
  <si>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</si>
  <si>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</si>
  <si>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</si>
  <si>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</si>
  <si>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</si>
  <si>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</si>
  <si>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</si>
  <si>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</si>
  <si>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</si>
  <si>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</si>
  <si>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</si>
  <si>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</si>
  <si>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</si>
  <si>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</si>
  <si>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</si>
  <si>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</si>
  <si>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</si>
  <si>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</si>
  <si>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</si>
  <si>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</si>
  <si>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</si>
  <si>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</si>
  <si>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</si>
  <si>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</si>
  <si>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</si>
  <si>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</si>
  <si>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</si>
  <si>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</si>
  <si>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</si>
  <si>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</si>
  <si>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</si>
  <si>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</si>
  <si>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</si>
  <si>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</si>
  <si>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</si>
  <si>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</si>
  <si>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</si>
  <si>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</si>
  <si>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</si>
  <si>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</si>
  <si>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</si>
  <si>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</si>
  <si>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</si>
  <si>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</si>
  <si>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</si>
  <si>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</si>
  <si>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</si>
  <si>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</si>
  <si>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</si>
  <si>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</si>
  <si>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</si>
  <si>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</si>
  <si>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</si>
  <si>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</si>
  <si>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</si>
  <si>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</si>
  <si>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</si>
  <si>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</si>
  <si>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</si>
  <si>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</si>
  <si>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</si>
  <si>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</si>
  <si>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</si>
  <si>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</si>
  <si>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</si>
  <si>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</si>
  <si>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</si>
  <si>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</si>
  <si>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</si>
  <si>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</si>
  <si>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</si>
  <si>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</si>
  <si>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</si>
  <si>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</si>
  <si>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</si>
  <si>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</si>
  <si>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</si>
  <si>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</si>
  <si>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</si>
  <si>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</si>
  <si>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</si>
  <si>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</si>
  <si>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</si>
  <si>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</si>
  <si>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</si>
  <si>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</si>
  <si>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</si>
  <si>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</si>
  <si>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</si>
  <si>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</si>
  <si>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</si>
  <si>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</si>
  <si>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</si>
  <si>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</si>
  <si>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</si>
  <si>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</si>
  <si>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</si>
  <si>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</si>
  <si>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</si>
  <si>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</si>
  <si>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</si>
  <si>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</si>
  <si>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</si>
  <si>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</si>
  <si>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</si>
  <si>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</si>
  <si>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</si>
  <si>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</si>
  <si>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</si>
  <si>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</si>
  <si>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</si>
  <si>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</si>
  <si>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</si>
  <si>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</si>
  <si>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</si>
  <si>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</si>
  <si>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</si>
  <si>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</si>
  <si>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</si>
  <si>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</si>
  <si>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</si>
  <si>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</si>
  <si>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</si>
  <si>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</si>
  <si>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</si>
  <si>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</si>
  <si>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</si>
  <si>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</si>
  <si>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</si>
  <si>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</si>
  <si>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</si>
  <si>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</si>
  <si>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</si>
  <si>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</si>
  <si>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</si>
  <si>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</si>
  <si>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</si>
  <si>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</si>
  <si>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</si>
  <si>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</si>
  <si>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</si>
  <si>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</si>
  <si>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</si>
  <si>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</si>
  <si>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</si>
  <si>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</si>
  <si>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</si>
  <si>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</si>
  <si>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</si>
  <si>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</si>
  <si>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</si>
  <si>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</si>
  <si>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</si>
  <si>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</si>
  <si>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</si>
  <si>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</si>
  <si>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</si>
  <si>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</si>
  <si>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</si>
  <si>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</si>
  <si>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</si>
  <si>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</si>
  <si>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</si>
  <si>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</si>
  <si>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</si>
  <si>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</si>
  <si>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</si>
  <si>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</si>
  <si>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</si>
  <si>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</si>
  <si>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</si>
  <si>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</si>
  <si>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</si>
  <si>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</si>
  <si>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</si>
  <si>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</si>
  <si>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</si>
  <si>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</si>
  <si>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</si>
  <si>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</si>
  <si>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</si>
  <si>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</si>
  <si>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</si>
  <si>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</si>
  <si>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</si>
  <si>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</si>
  <si>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</si>
  <si>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</si>
  <si>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</si>
  <si>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</si>
  <si>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</si>
  <si>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</si>
  <si>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</si>
  <si>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</si>
  <si>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</si>
  <si>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</si>
  <si>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</si>
  <si>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</si>
  <si>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</si>
  <si>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</si>
  <si>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</si>
  <si>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</si>
  <si>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</si>
  <si>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</si>
  <si>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</si>
  <si>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</si>
  <si>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</si>
  <si>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</si>
  <si>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</si>
  <si>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</si>
  <si>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</si>
  <si>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</si>
  <si>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</si>
  <si>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</si>
  <si>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</si>
  <si>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</si>
  <si>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</si>
  <si>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</si>
  <si>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</si>
  <si>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</si>
  <si>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</si>
  <si>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</si>
  <si>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</si>
  <si>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</si>
  <si>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</si>
  <si>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</si>
  <si>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</si>
  <si>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</si>
  <si>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</si>
  <si>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</si>
  <si>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</si>
  <si>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</si>
  <si>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</si>
  <si>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</si>
  <si>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</si>
  <si>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</si>
  <si>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</si>
  <si>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</si>
  <si>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</si>
  <si>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</si>
  <si>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</si>
  <si>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</si>
  <si>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</si>
  <si>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</si>
  <si>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</si>
  <si>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</si>
  <si>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</si>
  <si>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</si>
  <si>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</si>
  <si>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</si>
  <si>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</si>
  <si>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</si>
  <si>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</si>
  <si>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</si>
  <si>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</si>
  <si>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</si>
  <si>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</si>
  <si>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</si>
  <si>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</si>
  <si>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</si>
  <si>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</si>
  <si>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</si>
  <si>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</si>
  <si>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</si>
  <si>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</si>
  <si>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</si>
  <si>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</si>
  <si>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</si>
  <si>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</si>
  <si>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</si>
  <si>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</si>
  <si>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</si>
  <si>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</si>
  <si>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</si>
  <si>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</si>
  <si>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</si>
  <si>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</si>
  <si>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</si>
  <si>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</si>
  <si>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</si>
  <si>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</si>
  <si>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</si>
  <si>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</si>
  <si>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</si>
  <si>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</si>
  <si>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</si>
  <si>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</si>
  <si>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</si>
  <si>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</si>
  <si>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</si>
  <si>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</si>
  <si>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</si>
  <si>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</si>
  <si>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</si>
  <si>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</si>
  <si>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</si>
  <si>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</si>
  <si>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</si>
  <si>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</si>
  <si>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</si>
  <si>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</si>
  <si>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</si>
  <si>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</si>
  <si>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</si>
  <si>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</si>
  <si>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</si>
  <si>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</si>
  <si>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</si>
  <si>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</si>
  <si>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</si>
  <si>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</si>
  <si>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</si>
  <si>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</si>
  <si>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</si>
  <si>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</si>
  <si>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</si>
  <si>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</si>
  <si>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</si>
  <si>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</si>
  <si>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</si>
  <si>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</si>
  <si>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</si>
  <si>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</si>
  <si>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</si>
  <si>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</si>
  <si>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</si>
  <si>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</si>
  <si>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</si>
  <si>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</si>
  <si>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</si>
  <si>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</si>
  <si>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</si>
  <si>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</si>
  <si>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</si>
  <si>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</si>
  <si>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</si>
  <si>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</si>
  <si>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</si>
  <si>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</si>
  <si>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</si>
  <si>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</si>
  <si>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</si>
  <si>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</si>
  <si>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</si>
  <si>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</si>
  <si>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</si>
  <si>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</si>
  <si>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</si>
  <si>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</si>
  <si>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</si>
  <si>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</si>
  <si>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</si>
  <si>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</si>
  <si>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</si>
  <si>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</si>
  <si>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</si>
  <si>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</si>
  <si>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</si>
  <si>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</si>
  <si>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</si>
  <si>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</si>
  <si>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</si>
  <si>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</si>
  <si>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</si>
  <si>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</si>
  <si>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</si>
  <si>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</si>
  <si>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</si>
  <si>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</si>
  <si>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</si>
  <si>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</si>
  <si>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</si>
  <si>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</si>
  <si>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</si>
  <si>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</si>
  <si>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</si>
  <si>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</si>
  <si>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</si>
  <si>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</si>
  <si>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</si>
  <si>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</si>
  <si>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</si>
  <si>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</si>
  <si>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</si>
  <si>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</si>
  <si>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</si>
  <si>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</si>
  <si>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</si>
  <si>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</si>
  <si>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</si>
  <si>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</si>
  <si>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</si>
  <si>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</si>
  <si>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</si>
  <si>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</si>
  <si>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</si>
  <si>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</si>
  <si>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</si>
  <si>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</si>
  <si>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</si>
  <si>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</si>
  <si>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</si>
  <si>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</si>
  <si>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</si>
  <si>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</si>
  <si>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</si>
  <si>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</si>
  <si>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</si>
  <si>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</si>
  <si>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</si>
  <si>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</si>
  <si>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</si>
  <si>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</si>
  <si>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</si>
  <si>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</si>
  <si>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</si>
  <si>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</si>
  <si>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</si>
  <si>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</si>
  <si>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</si>
  <si>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</si>
  <si>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</si>
  <si>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</si>
  <si>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</si>
  <si>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</si>
  <si>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</si>
  <si>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</si>
  <si>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</si>
  <si>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</si>
  <si>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</si>
  <si>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</si>
  <si>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</si>
  <si>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</si>
  <si>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</si>
  <si>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</si>
  <si>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</si>
  <si>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</si>
  <si>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</si>
  <si>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</si>
  <si>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</si>
  <si>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</si>
  <si>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</si>
  <si>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</si>
  <si>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</si>
  <si>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</si>
  <si>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</si>
  <si>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</si>
  <si>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</si>
  <si>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</si>
  <si>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</si>
  <si>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</si>
  <si>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</si>
  <si>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</si>
  <si>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</si>
  <si>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</si>
  <si>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</si>
  <si>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</si>
  <si>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</si>
  <si>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</si>
  <si>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</si>
  <si>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</si>
  <si>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</si>
  <si>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</si>
  <si>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</si>
  <si>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</si>
  <si>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</si>
  <si>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</si>
  <si>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</si>
  <si>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</si>
  <si>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</si>
  <si>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</si>
  <si>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</si>
  <si>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</si>
  <si>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</si>
  <si>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</si>
  <si>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</si>
  <si>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</si>
  <si>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</si>
  <si>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</si>
  <si>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</si>
  <si>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</si>
  <si>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</si>
  <si>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</si>
  <si>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</si>
  <si>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</si>
  <si>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</si>
  <si>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</si>
  <si>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</si>
  <si>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</si>
  <si>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</si>
  <si>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</si>
  <si>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</si>
  <si>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</si>
  <si>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</si>
  <si>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</si>
  <si>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</si>
  <si>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</si>
  <si>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</si>
  <si>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</si>
  <si>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</si>
  <si>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</si>
  <si>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</si>
  <si>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</si>
  <si>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</si>
  <si>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</si>
  <si>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</si>
  <si>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</si>
  <si>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</si>
  <si>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</si>
  <si>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</si>
  <si>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</si>
  <si>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</si>
  <si>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</si>
  <si>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</si>
  <si>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</si>
  <si>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</si>
  <si>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</si>
  <si>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</si>
  <si>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</si>
  <si>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</si>
  <si>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</si>
  <si>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</si>
  <si>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</si>
  <si>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</si>
  <si>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</si>
  <si>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</si>
  <si>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</si>
  <si>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</si>
  <si>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</si>
  <si>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</si>
  <si>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</si>
  <si>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</si>
  <si>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</si>
  <si>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</si>
  <si>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</si>
  <si>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</si>
  <si>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</si>
  <si>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</si>
  <si>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</si>
  <si>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</si>
  <si>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</si>
  <si>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</si>
  <si>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</si>
  <si>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</si>
  <si>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</si>
  <si>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</si>
  <si>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</si>
  <si>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</si>
  <si>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</si>
  <si>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</si>
  <si>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</si>
  <si>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</si>
  <si>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</si>
  <si>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</si>
  <si>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</si>
  <si>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</si>
  <si>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</si>
  <si>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</si>
  <si>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</si>
  <si>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</si>
  <si>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</si>
  <si>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</si>
  <si>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</si>
  <si>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</si>
  <si>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</si>
  <si>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</si>
  <si>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</si>
  <si>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</si>
  <si>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</si>
  <si>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</si>
  <si>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</si>
  <si>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</si>
  <si>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</si>
  <si>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</si>
  <si>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</si>
  <si>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</si>
  <si>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</si>
  <si>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</si>
  <si>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</si>
  <si>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</si>
  <si>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</si>
  <si>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</si>
  <si>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</si>
  <si>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</si>
  <si>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</si>
  <si>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</si>
  <si>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</si>
  <si>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</si>
  <si>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</si>
  <si>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</si>
  <si>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</si>
  <si>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</si>
  <si>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</si>
  <si>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</si>
  <si>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</si>
  <si>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</si>
  <si>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</si>
  <si>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</si>
  <si>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</si>
  <si>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</si>
  <si>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</si>
  <si>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</si>
  <si>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</si>
  <si>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</si>
  <si>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</si>
  <si>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</si>
  <si>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</si>
  <si>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</si>
  <si>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</si>
  <si>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</si>
  <si>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</si>
  <si>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</si>
  <si>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</si>
  <si>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</si>
  <si>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</si>
  <si>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</si>
  <si>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</si>
  <si>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</si>
  <si>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</si>
  <si>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</si>
  <si>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</si>
  <si>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</si>
  <si>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</si>
  <si>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</si>
  <si>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</si>
  <si>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</si>
  <si>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</si>
  <si>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</si>
  <si>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</si>
  <si>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</si>
  <si>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</si>
  <si>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</si>
  <si>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</si>
  <si>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</si>
  <si>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</si>
  <si>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</si>
  <si>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</si>
  <si>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</si>
  <si>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</si>
  <si>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</si>
  <si>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</si>
  <si>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</si>
  <si>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</si>
  <si>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</si>
  <si>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</si>
  <si>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</si>
  <si>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</si>
  <si>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</si>
  <si>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</si>
  <si>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</si>
  <si>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</si>
  <si>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</si>
  <si>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</si>
  <si>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</si>
  <si>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</si>
  <si>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</si>
  <si>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</si>
  <si>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</si>
  <si>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</si>
  <si>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</si>
  <si>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</si>
  <si>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</si>
  <si>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</si>
  <si>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</si>
  <si>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</si>
  <si>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</si>
  <si>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</si>
  <si>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</si>
  <si>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</si>
  <si>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</si>
  <si>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</si>
  <si>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</si>
  <si>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</si>
  <si>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</si>
  <si>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</si>
  <si>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</si>
  <si>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</si>
  <si>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</si>
  <si>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</si>
  <si>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</si>
  <si>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</si>
  <si>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</si>
  <si>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</si>
  <si>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</si>
  <si>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</si>
  <si>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</si>
  <si>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</si>
  <si>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</si>
  <si>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</si>
  <si>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</si>
  <si>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</si>
  <si>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</si>
  <si>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</si>
  <si>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</si>
  <si>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</si>
  <si>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</si>
  <si>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</si>
  <si>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</si>
  <si>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</si>
  <si>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</si>
  <si>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</si>
  <si>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</si>
  <si>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</si>
  <si>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</si>
  <si>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</si>
  <si>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</si>
  <si>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</si>
  <si>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</si>
  <si>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</si>
  <si>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</si>
  <si>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</si>
  <si>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</si>
  <si>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</si>
  <si>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</si>
  <si>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</si>
  <si>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</si>
  <si>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</si>
  <si>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</si>
  <si>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</si>
  <si>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</si>
  <si>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</si>
  <si>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</si>
  <si>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</si>
  <si>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</si>
  <si>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</si>
  <si>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</si>
  <si>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</si>
  <si>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</si>
  <si>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</si>
  <si>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</si>
  <si>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</si>
  <si>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</si>
  <si>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</si>
  <si>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</si>
  <si>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</si>
  <si>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</si>
  <si>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</si>
  <si>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</si>
  <si>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</si>
  <si>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</si>
  <si>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</si>
  <si>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</si>
  <si>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</si>
  <si>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</si>
  <si>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</si>
  <si>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</si>
  <si>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</si>
  <si>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</si>
  <si>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</si>
  <si>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</si>
  <si>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</si>
  <si>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</si>
  <si>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</si>
  <si>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</si>
  <si>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</si>
  <si>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</si>
  <si>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</si>
  <si>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</si>
  <si>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</si>
  <si>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</si>
  <si>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</si>
  <si>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</si>
  <si>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</si>
  <si>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</si>
  <si>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</si>
  <si>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</si>
  <si>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</si>
  <si>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</si>
  <si>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</si>
  <si>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</si>
  <si>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</si>
  <si>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</si>
  <si>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</si>
  <si>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</si>
  <si>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</si>
  <si>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</si>
  <si>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</si>
  <si>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</si>
  <si>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</si>
  <si>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</si>
  <si>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</si>
  <si>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</si>
  <si>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</si>
  <si>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</si>
  <si>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</si>
  <si>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</si>
  <si>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</si>
  <si>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</si>
  <si>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</si>
  <si>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</si>
  <si>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</si>
  <si>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</si>
  <si>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</si>
  <si>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</si>
  <si>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</si>
  <si>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</si>
  <si>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</si>
  <si>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</si>
  <si>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</si>
  <si>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</si>
  <si>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</si>
  <si>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</si>
  <si>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</si>
  <si>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</si>
  <si>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</si>
  <si>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</si>
  <si>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</si>
  <si>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</si>
  <si>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</si>
  <si>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</si>
  <si>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</si>
  <si>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</si>
  <si>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</si>
  <si>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</si>
  <si>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</si>
  <si>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</si>
  <si>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</si>
  <si>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</si>
  <si>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</si>
  <si>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</si>
  <si>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</si>
  <si>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</si>
  <si>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</si>
  <si>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</si>
  <si>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</si>
  <si>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</si>
  <si>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</si>
  <si>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</si>
  <si>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</si>
  <si>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</si>
  <si>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</si>
  <si>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</si>
  <si>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</si>
  <si>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</si>
  <si>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</si>
  <si>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</si>
  <si>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</si>
  <si>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</si>
  <si>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</si>
  <si>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</si>
  <si>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</si>
  <si>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</si>
  <si>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</si>
  <si>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</si>
  <si>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</si>
  <si>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</si>
  <si>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</si>
  <si>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</si>
  <si>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</si>
  <si>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</si>
  <si>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</si>
  <si>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</si>
  <si>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</si>
  <si>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</si>
  <si>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</si>
  <si>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</si>
  <si>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</si>
  <si>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</si>
  <si>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</si>
  <si>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</si>
  <si>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</si>
  <si>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</si>
  <si>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</si>
  <si>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</si>
  <si>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</si>
  <si>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</si>
  <si>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</si>
  <si>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</si>
  <si>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</si>
  <si>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</si>
  <si>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</si>
  <si>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</si>
  <si>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</si>
  <si>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</si>
  <si>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</si>
  <si>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</si>
  <si>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</si>
  <si>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</si>
  <si>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</si>
  <si>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</si>
  <si>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</si>
  <si>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</si>
  <si>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</si>
  <si>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</si>
  <si>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</si>
  <si>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</si>
  <si>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</si>
  <si>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</si>
  <si>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</si>
  <si>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</si>
  <si>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</si>
  <si>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</si>
  <si>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</si>
  <si>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</si>
  <si>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</si>
  <si>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</si>
  <si>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</si>
  <si>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</si>
  <si>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</si>
  <si>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</si>
  <si>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</si>
  <si>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</si>
  <si>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</si>
  <si>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</si>
  <si>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</si>
  <si>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</si>
  <si>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</si>
  <si>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</si>
  <si>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</si>
  <si>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</si>
  <si>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</si>
  <si>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</si>
  <si>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</si>
  <si>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</si>
  <si>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</si>
  <si>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</si>
  <si>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</si>
  <si>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</si>
  <si>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</si>
  <si>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</si>
  <si>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</si>
  <si>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</si>
  <si>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</si>
  <si>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</si>
  <si>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</si>
  <si>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</si>
  <si>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</si>
  <si>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</si>
  <si>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</si>
  <si>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</si>
  <si>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</si>
  <si>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</si>
  <si>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</si>
  <si>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</si>
  <si>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</si>
  <si>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</si>
  <si>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</si>
  <si>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</si>
  <si>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</si>
  <si>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</si>
  <si>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</si>
  <si>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</si>
  <si>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</si>
  <si>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</si>
  <si>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</si>
  <si>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</si>
  <si>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</si>
  <si>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</si>
  <si>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</si>
  <si>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</si>
  <si>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</si>
  <si>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</si>
  <si>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</si>
  <si>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</si>
  <si>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</si>
  <si>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</si>
  <si>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</si>
  <si>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</si>
  <si>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</si>
  <si>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</si>
  <si>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</si>
  <si>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</si>
  <si>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</si>
  <si>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</si>
  <si>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</si>
  <si>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</si>
  <si>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</si>
  <si>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</si>
  <si>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</si>
  <si>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</si>
  <si>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</si>
  <si>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</si>
  <si>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</si>
  <si>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</si>
  <si>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</si>
  <si>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</si>
  <si>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</si>
  <si>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</si>
  <si>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</si>
  <si>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</si>
  <si>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</si>
  <si>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</si>
  <si>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</si>
  <si>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</si>
  <si>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</si>
  <si>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</si>
  <si>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</si>
  <si>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</si>
  <si>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</si>
  <si>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</si>
  <si>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</si>
  <si>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</si>
  <si>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</si>
  <si>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</si>
  <si>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</si>
  <si>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</si>
  <si>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</si>
  <si>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</si>
  <si>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</si>
  <si>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</si>
  <si>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</si>
  <si>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</si>
  <si>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</si>
  <si>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</si>
  <si>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</si>
  <si>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</si>
  <si>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</si>
  <si>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</si>
  <si>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</si>
  <si>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</si>
  <si>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</si>
  <si>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</si>
  <si>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</si>
  <si>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</si>
  <si>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</si>
  <si>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</si>
  <si>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</si>
  <si>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</si>
  <si>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</si>
  <si>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</si>
  <si>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</si>
  <si>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</si>
  <si>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</si>
  <si>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</si>
  <si>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</si>
  <si>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</si>
  <si>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</si>
  <si>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</si>
  <si>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</si>
  <si>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</si>
  <si>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</si>
  <si>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</si>
  <si>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</si>
  <si>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</si>
  <si>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</si>
  <si>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</si>
  <si>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</si>
  <si>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</si>
  <si>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</si>
  <si>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</si>
  <si>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</si>
  <si>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</si>
  <si>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</si>
  <si>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</si>
  <si>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</si>
  <si>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</si>
  <si>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</si>
  <si>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</si>
  <si>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</si>
  <si>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</si>
  <si>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</si>
  <si>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</si>
  <si>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</si>
  <si>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</si>
  <si>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</si>
  <si>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</si>
  <si>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</si>
  <si>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</si>
  <si>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</si>
  <si>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</si>
  <si>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</si>
  <si>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</si>
  <si>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</si>
  <si>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</si>
  <si>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</si>
  <si>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</si>
  <si>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</si>
  <si>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</si>
  <si>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</si>
  <si>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</si>
  <si>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</si>
  <si>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</si>
  <si>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</si>
  <si>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</si>
  <si>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</si>
  <si>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</si>
  <si>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</si>
  <si>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</si>
  <si>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</si>
  <si>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</si>
  <si>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</si>
  <si>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</si>
  <si>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</si>
  <si>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</si>
  <si>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</si>
  <si>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</si>
  <si>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</si>
  <si>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</si>
  <si>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</si>
  <si>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</si>
  <si>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</si>
  <si>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</si>
  <si>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</si>
  <si>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</si>
  <si>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</si>
  <si>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</si>
  <si>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</si>
  <si>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</si>
  <si>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</si>
  <si>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</si>
  <si>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</si>
  <si>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</si>
  <si>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</si>
  <si>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</si>
  <si>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</si>
  <si>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</si>
  <si>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</si>
  <si>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</si>
  <si>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</si>
  <si>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</si>
  <si>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</si>
  <si>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</si>
  <si>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</si>
  <si>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</si>
  <si>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</si>
  <si>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</si>
  <si>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</si>
  <si>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</si>
  <si>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</si>
  <si>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</si>
  <si>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</si>
  <si>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</si>
  <si>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</si>
  <si>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</si>
  <si>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</si>
  <si>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</si>
  <si>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</si>
  <si>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</si>
  <si>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</si>
  <si>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</si>
  <si>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</si>
  <si>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</si>
  <si>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</si>
  <si>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</si>
  <si>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</si>
  <si>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</si>
  <si>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</si>
  <si>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</si>
  <si>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</si>
  <si>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</si>
  <si>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</si>
  <si>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</si>
  <si>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</si>
  <si>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</si>
  <si>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</si>
  <si>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</si>
  <si>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</si>
  <si>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</si>
  <si>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</si>
  <si>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</si>
  <si>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</si>
  <si>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</si>
  <si>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</si>
  <si>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</si>
  <si>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</si>
  <si>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</si>
  <si>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</si>
  <si>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</si>
  <si>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</si>
  <si>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</si>
  <si>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</si>
  <si>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</si>
  <si>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</si>
  <si>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</si>
  <si>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</si>
  <si>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</si>
  <si>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</si>
  <si>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</si>
  <si>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</si>
  <si>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</si>
  <si>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</si>
  <si>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</si>
  <si>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</si>
  <si>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</si>
  <si>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</si>
  <si>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</si>
  <si>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</si>
  <si>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</si>
  <si>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</si>
  <si>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</si>
  <si>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</si>
  <si>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</si>
  <si>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</si>
  <si>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</si>
  <si>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</si>
  <si>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</si>
  <si>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</si>
  <si>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</si>
  <si>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</si>
  <si>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</si>
  <si>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</si>
  <si>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</si>
  <si>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</si>
  <si>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</si>
  <si>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</si>
  <si>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</si>
  <si>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</si>
  <si>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</si>
  <si>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</si>
  <si>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</si>
  <si>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</si>
  <si>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</si>
  <si>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</si>
  <si>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</si>
  <si>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</si>
  <si>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</si>
  <si>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</si>
  <si>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</si>
  <si>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</si>
  <si>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</si>
  <si>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</si>
  <si>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</si>
  <si>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</si>
  <si>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</si>
  <si>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</si>
  <si>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</si>
  <si>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</si>
  <si>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</si>
  <si>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</si>
  <si>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</si>
  <si>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</si>
  <si>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</si>
  <si>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</si>
  <si>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</si>
  <si>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</si>
  <si>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</si>
  <si>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</si>
  <si>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</si>
  <si>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</si>
  <si>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</si>
  <si>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</si>
  <si>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</si>
  <si>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</si>
  <si>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</si>
  <si>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</si>
  <si>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</si>
  <si>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</si>
  <si>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</si>
  <si>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</si>
  <si>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</si>
  <si>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</si>
  <si>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</si>
  <si>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</si>
  <si>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</si>
  <si>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</si>
  <si>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</si>
  <si>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</si>
  <si>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</si>
  <si>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</si>
  <si>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</si>
  <si>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</si>
  <si>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</si>
  <si>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</si>
  <si>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</si>
  <si>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</si>
  <si>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</si>
  <si>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</si>
  <si>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</si>
  <si>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</si>
  <si>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</si>
  <si>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</si>
  <si>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</si>
  <si>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</si>
  <si>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</si>
  <si>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</si>
  <si>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</si>
  <si>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</si>
  <si>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</si>
  <si>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</si>
  <si>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</si>
  <si>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</si>
  <si>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</si>
  <si>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</si>
  <si>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</si>
  <si>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</si>
  <si>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</si>
  <si>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</si>
  <si>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</si>
  <si>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</si>
  <si>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</si>
  <si>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</si>
  <si>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</si>
  <si>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</si>
  <si>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</si>
  <si>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</si>
  <si>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</si>
  <si>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</si>
  <si>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</si>
  <si>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</si>
  <si>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</si>
  <si>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</si>
  <si>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</si>
  <si>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</si>
  <si>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</si>
  <si>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</si>
  <si>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</si>
  <si>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</si>
  <si>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</si>
  <si>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</si>
  <si>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</si>
  <si>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</si>
  <si>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</si>
  <si>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</si>
  <si>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</si>
  <si>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</si>
  <si>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</si>
  <si>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</si>
  <si>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</si>
  <si>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</si>
  <si>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</si>
  <si>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</si>
  <si>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</si>
  <si>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</si>
  <si>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</si>
  <si>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</si>
  <si>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</si>
  <si>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</si>
  <si>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</si>
  <si>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</si>
  <si>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</si>
  <si>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</si>
  <si>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</si>
  <si>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</si>
  <si>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</si>
  <si>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</si>
  <si>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</si>
  <si>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</si>
  <si>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</si>
  <si>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</si>
  <si>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</si>
  <si>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</si>
  <si>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</si>
  <si>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</si>
  <si>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</si>
  <si>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</si>
  <si>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</si>
  <si>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</si>
  <si>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</si>
  <si>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</si>
  <si>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</si>
  <si>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</si>
  <si>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</si>
  <si>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</si>
  <si>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</si>
  <si>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</si>
  <si>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</si>
  <si>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</si>
  <si>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</si>
  <si>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</si>
  <si>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</si>
  <si>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</si>
  <si>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</si>
  <si>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</si>
  <si>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</si>
  <si>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</si>
  <si>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</si>
  <si>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</si>
  <si>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</si>
  <si>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</si>
  <si>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</si>
  <si>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</si>
  <si>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</si>
  <si>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</si>
  <si>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</si>
  <si>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</si>
  <si>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</si>
  <si>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</si>
  <si>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</si>
  <si>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</si>
  <si>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</si>
  <si>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</si>
  <si>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</si>
  <si>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</si>
  <si>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</si>
  <si>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</si>
  <si>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</si>
  <si>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</si>
  <si>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</si>
  <si>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</si>
  <si>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</si>
  <si>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</si>
  <si>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</si>
  <si>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</si>
  <si>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</si>
  <si>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</si>
  <si>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</si>
  <si>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</si>
  <si>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</si>
  <si>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</si>
  <si>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</si>
  <si>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</si>
  <si>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</si>
  <si>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</si>
  <si>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</si>
  <si>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</si>
  <si>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</si>
  <si>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</si>
  <si>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</si>
  <si>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</si>
  <si>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</si>
  <si>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</si>
  <si>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</si>
  <si>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</si>
  <si>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</si>
  <si>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</si>
  <si>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</si>
  <si>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</si>
  <si>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</si>
  <si>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</si>
  <si>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Mack &amp; Associates, P.C.</t>
  </si>
  <si>
    <t>Tawnya Mack, CPA</t>
  </si>
  <si>
    <t>116 E. Washington St., Suite One</t>
  </si>
  <si>
    <t>Morris</t>
  </si>
  <si>
    <t>IL</t>
  </si>
  <si>
    <t>815-942-3306</t>
  </si>
  <si>
    <t>815-942-9430</t>
  </si>
  <si>
    <t>066-005100</t>
  </si>
  <si>
    <t>tmack@mackcpas.com</t>
  </si>
  <si>
    <t>x</t>
  </si>
  <si>
    <t>Grundy</t>
  </si>
  <si>
    <t>725 School Street</t>
  </si>
  <si>
    <t>Neil Sanburg</t>
  </si>
  <si>
    <t>nsanburg@grundyspecialed.org</t>
  </si>
  <si>
    <t>815-942-5780</t>
  </si>
  <si>
    <t>815-942-5782</t>
  </si>
  <si>
    <t>PDF in Opinion Page with signature</t>
  </si>
  <si>
    <t>See Below</t>
  </si>
  <si>
    <t>Gardner -South Wilmington District #73; South Wilmington District #74; Braceville District #75; Morris High School District #101; Minooka High School District #111; Minooka Elementary District #201.</t>
  </si>
  <si>
    <t>Page 11, Line 107 - Other Local Revenues - Reimbursements/Refunds</t>
  </si>
  <si>
    <t>Expenditures, Line 83 - Other Payments - Repayment of Cash Reserve to Districts, Medicaid Flow-through</t>
  </si>
  <si>
    <t>OM-Support-Purchased Services</t>
  </si>
  <si>
    <t>20-2540-300</t>
  </si>
  <si>
    <t>Comcast</t>
  </si>
  <si>
    <t>COMED</t>
  </si>
  <si>
    <t>ED-Support-Purchased Services</t>
  </si>
  <si>
    <t>10-2300-300</t>
  </si>
  <si>
    <t>Group Alternatives</t>
  </si>
  <si>
    <t>Ed-Instruction-Purchased Services</t>
  </si>
  <si>
    <t>10-1000-300</t>
  </si>
  <si>
    <t>IL WI Sertoma Reg Ctr for Comm Dis</t>
  </si>
  <si>
    <t>Rival5 Technologies Corp</t>
  </si>
  <si>
    <t>Timberline Billing Service LLC</t>
  </si>
  <si>
    <t>10-2100-300</t>
  </si>
  <si>
    <t>Toddler Therapy Service, Inc</t>
  </si>
  <si>
    <t xml:space="preserve"> Passed through Illinois State Board of Education:</t>
  </si>
  <si>
    <t>U.S. Department of Education Direct Programs:</t>
  </si>
  <si>
    <t xml:space="preserve">  Special Education Preschool Grants - 2018 (M)</t>
  </si>
  <si>
    <t>2018-4600</t>
  </si>
  <si>
    <t xml:space="preserve">  Fed Spec. Ed. IDEA Flow-through - 2018 (M)</t>
  </si>
  <si>
    <t>2018-4620</t>
  </si>
  <si>
    <t>U.S. Department of Health &amp; Human Services:</t>
  </si>
  <si>
    <t xml:space="preserve">  Passed through IL Dept. of Healthcare &amp; Family Services:</t>
  </si>
  <si>
    <t xml:space="preserve">  Medical Assistance Program - 2018</t>
  </si>
  <si>
    <t>2018-4991</t>
  </si>
  <si>
    <t xml:space="preserve">  Special Education Preschool Grants - 2019 (M)</t>
  </si>
  <si>
    <t xml:space="preserve">  Fed Spec. Ed. IDEA Flow-through - 2019 (M)</t>
  </si>
  <si>
    <t xml:space="preserve">  Medical Assistance Program - 2019</t>
  </si>
  <si>
    <t>2019-4991</t>
  </si>
  <si>
    <t>2019-4620</t>
  </si>
  <si>
    <t>2019-4600</t>
  </si>
  <si>
    <t>N/A</t>
  </si>
  <si>
    <t>Of the federal expenditures presented in the schedule, Grundy County Special Education Cooperative provided federal awards to subrecipients as follows:</t>
  </si>
  <si>
    <r>
      <t xml:space="preserve">The following amounts were expended in the form of non-cash assistance by Grundy County Special Education Cooperative and </t>
    </r>
    <r>
      <rPr>
        <b/>
        <sz val="9"/>
        <rFont val="Calibri"/>
        <family val="2"/>
        <scheme val="minor"/>
      </rPr>
      <t>should be</t>
    </r>
    <r>
      <rPr>
        <sz val="9"/>
        <rFont val="Calibri"/>
        <family val="2"/>
        <scheme val="minor"/>
      </rPr>
      <t xml:space="preserve"> included in the Schedule of Expenditures of Federal Awards:</t>
    </r>
  </si>
  <si>
    <t>The accompanying Schedule of Expenditures of Federal Awards includes the federal grant activity of Grundy County Special Education Cooperative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</si>
  <si>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Braceville Elementary School</t>
  </si>
  <si>
    <t>Gardner Elementary District 72C</t>
  </si>
  <si>
    <t>Gardner South Wilmington High School</t>
  </si>
  <si>
    <t>Minooka Community District 111</t>
  </si>
  <si>
    <t>Minooka Community Consolidated School District 201</t>
  </si>
  <si>
    <t>Morris Elementary School District 54</t>
  </si>
  <si>
    <t>Morris High School District 101</t>
  </si>
  <si>
    <t>MVK District 2</t>
  </si>
  <si>
    <t>Nettle Creek Elementary District 24</t>
  </si>
  <si>
    <t>Saratoga Community Consolidated District 60C</t>
  </si>
  <si>
    <t>South Wilmington District 74</t>
  </si>
  <si>
    <t>84.027A</t>
  </si>
  <si>
    <t>Unmodified</t>
  </si>
  <si>
    <t>X</t>
  </si>
  <si>
    <t>Fed. Spec. Ed - IDEA Flow-through - Special Ed (IDEA) Cluster</t>
  </si>
  <si>
    <t>Special Education Preschool Grants - Special Ed (IDEA) Cluster</t>
  </si>
  <si>
    <t>The Board has the ultimate responsibility for oversight of the Cooperative’s system of internal control over financial reporting. While it is acceptable to outsource various functions, responsibility for financial oversight cannot be outsourced to external auditors. As independent auditors, the external auditors cannot be considered a part of the Cooperative’s system of internal controls.
In an ideal setting, management would possess a thorough understanding of financial and regulatory matters, and receive and review detailed financial information, sufficient to oversee the Cooperative’s system of internal control over financial reporting.</t>
  </si>
  <si>
    <t>There is insufficient financial oversight by management and those charged with governance of the Cooperative. Oversight of the Cooperative’s processes, procedures, and controls related to financial reporting are not effective to ensure the financial statements and related disclosures are accurate.</t>
  </si>
  <si>
    <t>As a result of insufficient financial oversight during the year, we identified a significant number of internal control deficiencies and matters, which are included on the following pages.</t>
  </si>
  <si>
    <t>Material misstatements to the financial statements may not be prevented or detected during the normal course of operations.</t>
  </si>
  <si>
    <t>Management may not possess comprehensive financial and regulatory knowledge to effectively oversee the Cooperative’s system of internal controls over financial reporting. Additionally, internal controls related to oversight have not been developed and implemented.</t>
  </si>
  <si>
    <t>It is imperative that management involved in the financial reporting process and those charged with governance obtain a thorough understanding of financial and regulatory matters, and receive and review detailed financial information sufficient to take responsibility for oversight of the Cooperative’s financial operations and internal controls.</t>
  </si>
  <si>
    <t>Management is aware of the condition and will begin implementing policies and procedures related to financial oversight.</t>
  </si>
  <si>
    <t>The Board has the ultimate responsibility for the Cooperative’s system of internal control over financial reporting. As independent auditors, the external auditors cannot be considered a part of the Cooperative’s system of internal controls. While it is acceptable to outsource various functions, responsibility for internal control cannot be outsourced to external auditors.
While it is common practice for the auditors to prepare the financial statements for many entities, this is considered an internal control deficiency in accordance with generally accepted auditing standards, which requires written communication to those charged with governance.</t>
  </si>
  <si>
    <t xml:space="preserve">The Cooperative’s personnel do not prepare the Cooperative’s financial statements and related disclosures, or the Schedule of Expenditures of Federal Awards. The Cooperative engages the external auditors to assist in preparing these reports using the financial reports provided by the Cooperative. </t>
  </si>
  <si>
    <t>The Cooperative lacks the resources to prepare complete and accurate financial statements. During the current fiscal year, the Cooperative’s trial balances required material audit adjustments, including the following:
•	Revenue reclassifications
•	Expenditure reclassifications
•	Transfers among funds</t>
  </si>
  <si>
    <t>Because the auditors, not management, have prepared the financial statements and related disclosures, material misstatements to the financial statements may not be prevented or detected by the Cooperative’s system of internal controls.</t>
  </si>
  <si>
    <t xml:space="preserve">The Cooperative’s personnel’s expertise is limited in the area of financial statement preparation in accordance with applicable government accounting standards. </t>
  </si>
  <si>
    <t>The Cooperative could consider the costs and benefits of dedicating the necessary staff resources, technical training, and oversight to ensure the Cooperative’s financial statements are accurately prepared in accordance with the modified-cash basis of accounting. However, the Cooperative may determine that the cost of implementing internal controls related to financial statement preparation in accordance with applicable standards outweighs the benefits to be gained.</t>
  </si>
  <si>
    <t>Management is aware of the condition and will begin implementing policies and procedures related to financial statement preparation.</t>
  </si>
  <si>
    <t>Special Education Cluster (IDEA Flow-through) 2019</t>
  </si>
  <si>
    <t>4620-2019</t>
  </si>
  <si>
    <t>Illinois State Board of Education</t>
  </si>
  <si>
    <t xml:space="preserve">	U.S. Department of Education</t>
  </si>
  <si>
    <t>Costs charged to the federal grant should be allowable, which includes being supported by appropriate documentation. With respect to payroll, costs charged should agree to underlying approved contracts and other supporting documentation. Internal controls over payroll processing should be designed and operated in a manner sufficient to ensure allowability of costs charged to the grant.</t>
  </si>
  <si>
    <t>There are inadequate controls over payroll processing as it relates to oversight and review of data entry and individual payroll transactions.</t>
  </si>
  <si>
    <t>None</t>
  </si>
  <si>
    <t>Our audit testing identified an instance of an employee charged to the IDEA grant being underpaid on her contract for the 2019 fiscal year due to a data entry error. When the current year collective bargaining contract was approved and new contract amounts were entered in December 2018, a portion of the employee’s payroll was erroneously excluded from the software and subsequent payroll checks were underpaid.</t>
  </si>
  <si>
    <t>Salary charged to the grant was, understated, and the employee was underpaid for a portion of the year.</t>
  </si>
  <si>
    <t>Formal policies and procedures related to oversight and review of payroll data entry have not been developed or implemented. In addition, turnover in the payroll manager position during the past two fiscal years resulted in errors in payroll processing that were not detected.</t>
  </si>
  <si>
    <t>Management is aware of the condition and will correct the employee’s pay. Additionally, management will develop and implement a process related to review of payroll data entry to ensure accuracy.</t>
  </si>
  <si>
    <t>U.S. Department of Education</t>
  </si>
  <si>
    <t>Costs charged to the federal grant should be incurred in the period covered by the grant, unless specific exceptions are made.</t>
  </si>
  <si>
    <t>There are inadequate controls over sub-grant distributions and reporting of such distributions on the grant expenditure reports.</t>
  </si>
  <si>
    <t>Final sub-grant distributions from the 2018 grant year were paid during the 2019 fiscal year and were erroneously included in the 2019 grant expenditure reports. These amounts were erroneously excluded from the 2018 grant expenditure reports. Likewise, final sub-grant distributions from the 2019 grant year will be paid during the 2020 fiscal year and were erroneously excluded from the 2019 grant expenditure reports. Additionally, a final sub-grant distribution to a District who left the Cooperative was not reported on the 2018 or the 2019 expenditure reports.</t>
  </si>
  <si>
    <t>The 2018 grant expenditure reports were understated by $145,745. The 2019 grant expenditure reports were overstated by $104,974. The 2020 grant expenditure reports will be overstated by $27,592. In total, grant expenditure reports over the three years will be understated by $13,179.</t>
  </si>
  <si>
    <t>In the past, the Cooperative made all sub-grant distributions prior to fiscal-year end. In 2018, final distributions for certain entities were not paid until after year-end. Procedures for preparation and review of expenditure reports did not cover a situation such as this, and the payments were erroneously omitted from 2018 and included in 2019.</t>
  </si>
  <si>
    <t>The cooperative should develop and implement internal control processes related to oversight and review of grant expenditure reports to ensure all expenditures are reported in the correct grant year.</t>
  </si>
  <si>
    <t>Management is aware of the condition and will develop and implement appropriate procedures to ensure proper reporting of expenditures in the correct grant year.</t>
  </si>
  <si>
    <t>A pass-through entity is responsible for monitoring subrecipients’ use of federal awards through reporting, site visits, regular contact, or other means to provide reasonable assurance that the subrecipient administered federal awards with applicable requirements. The pass-through entity is also responsible for ensuring that subrecipients expending $750,000 or more in federal awards have met the applicable single audit requirements.</t>
  </si>
  <si>
    <t>There are no formally documented or implemented controls in place to ensure proper subrecipient monitoring for the Cooperative’s pass-through payments.</t>
  </si>
  <si>
    <t>The Cooperative obtains quarterly expenditure reports from each sub-grantee. However, no formal monitoring process exists to ensure proper administration and reporting by the subrecipients as required.</t>
  </si>
  <si>
    <t>Proper monitoring procedures may not have been performed for the 2019 grant year</t>
  </si>
  <si>
    <t>No formally documented policies and procedures have been developed and implemented.</t>
  </si>
  <si>
    <t>The Cooperative will no longer act as a pass-through entity for IDEA funds in subsequent years. Therefore, no recommendation is made.</t>
  </si>
  <si>
    <t xml:space="preserve">The Cooperative will no longer act as a pass-through entity for IDEA funds in subsequent years. </t>
  </si>
  <si>
    <t>2018-01</t>
  </si>
  <si>
    <t>Financial Oversight</t>
  </si>
  <si>
    <t>Repeated as 2019-01</t>
  </si>
  <si>
    <t>Repeated as 2019-02</t>
  </si>
  <si>
    <t>2018-02</t>
  </si>
  <si>
    <t>Financial Statement Preparation</t>
  </si>
  <si>
    <t>Instructed by HFS to report only Co-op portion of Medicaid on SEFA</t>
  </si>
  <si>
    <t>jmorrissy@grundyspecialed.org</t>
  </si>
  <si>
    <t xml:space="preserve">Coal City Unit District #1 (Prior fiscal year only); Mazon-Verona Kinsman District #2C; Nettle Creek District #24C; Morris Elementary School District 54; Saratoga CCSD #60C; Gardner District #72; </t>
  </si>
  <si>
    <t>Expenditures, Line 73 - Other Support Services - Purchased Services - Contingencies and unemployment insurance</t>
  </si>
  <si>
    <t>The Cooperative should develop and implement internal control processes related to oversight and review of payroll data entry to ensure accuracy of payroll transactions and amounts.</t>
  </si>
  <si>
    <t>Grundy County Spec Educ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</si>
</sst>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3" fillId="0" borderId="0" xfId="3" applyFont="1" applyAlignment="1" applyProtection="1">
      <alignment horizontal="center" vertical="center"/>
    </xf>
    <xf numFmtId="49" fontId="132" fillId="0" borderId="107" xfId="18" applyNumberFormat="1" applyFont="1" applyBorder="1" applyAlignment="1" applyProtection="1">
      <alignment horizontal="center" vertic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2" fillId="0" borderId="125" xfId="2" applyBorder="1" applyAlignment="1" applyProtection="1">
      <protection locked="0"/>
    </xf>
    <xf numFmtId="0" fontId="15" fillId="0" borderId="128" xfId="0" applyFont="1" applyBorder="1" applyProtection="1">
      <protection locked="0"/>
    </xf>
    <xf numFmtId="0" fontId="15" fillId="0" borderId="126" xfId="0" applyFont="1" applyBorder="1" applyProtection="1">
      <protection locked="0"/>
    </xf>
    <xf numFmtId="0" fontId="12" fillId="0" borderId="17" xfId="12" applyFont="1" applyBorder="1" applyAlignment="1" applyProtection="1">
      <alignment horizontal="left" vertical="center" indent="1"/>
      <protection locked="0"/>
    </xf>
    <xf numFmtId="0" fontId="12" fillId="0" borderId="0" xfId="0" applyFont="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Font="1" applyBorder="1" applyAlignment="1" applyProtection="1">
      <alignment horizontal="left" vertical="center" indent="1"/>
      <protection locked="0"/>
    </xf>
    <xf numFmtId="0" fontId="12" fillId="0" borderId="126" xfId="12"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25" xfId="12" applyFont="1" applyBorder="1" applyAlignment="1" applyProtection="1">
      <alignment horizontal="left" vertical="center" readingOrder="1"/>
      <protection locked="0"/>
    </xf>
    <xf numFmtId="0" fontId="12" fillId="0" borderId="128" xfId="0" applyFont="1" applyBorder="1" applyAlignment="1" applyProtection="1">
      <alignment horizontal="left" vertical="center" readingOrder="1"/>
      <protection locked="0"/>
    </xf>
    <xf numFmtId="0" fontId="9" fillId="0" borderId="128" xfId="0" applyFont="1" applyBorder="1" applyAlignment="1" applyProtection="1">
      <alignment vertical="center" readingOrder="1"/>
      <protection locked="0"/>
    </xf>
    <xf numFmtId="0" fontId="9" fillId="0" borderId="126" xfId="0" applyFont="1" applyBorder="1" applyAlignment="1" applyProtection="1">
      <alignment vertical="center" readingOrder="1"/>
      <protection locked="0"/>
    </xf>
    <xf numFmtId="0" fontId="12" fillId="0" borderId="125" xfId="12" applyFont="1" applyBorder="1" applyAlignment="1" applyProtection="1">
      <alignment horizontal="left" vertical="center"/>
      <protection locked="0"/>
    </xf>
    <xf numFmtId="0" fontId="12" fillId="0" borderId="128" xfId="0" applyFont="1" applyBorder="1" applyAlignment="1" applyProtection="1">
      <alignment horizontal="left" vertical="center"/>
      <protection locked="0"/>
    </xf>
    <xf numFmtId="0" fontId="9" fillId="0" borderId="128" xfId="0" applyFont="1" applyBorder="1" applyAlignment="1" applyProtection="1">
      <alignment vertical="center"/>
      <protection locked="0"/>
    </xf>
    <xf numFmtId="0" fontId="9" fillId="0" borderId="126"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25" xfId="12"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14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53250" name="Object 2" hidden="1">
              <a:extLst>
                <a:ext uri="{63B3BB69-23CF-44E3-9099-C40C66FF867C}">
                  <a14:compatExt spid="_x0000_s53250"/>
                </a:ext>
                <a:ext uri="{FF2B5EF4-FFF2-40B4-BE49-F238E27FC236}">
                  <a16:creationId xmlns:a16="http://schemas.microsoft.com/office/drawing/2014/main" id="{00000000-0008-0000-1400-000002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914400</xdr:colOff>
          <xdr:row>15</xdr:row>
          <xdr:rowOff>38100</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1400-000003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914400</xdr:colOff>
          <xdr:row>20</xdr:row>
          <xdr:rowOff>38100</xdr:rowOff>
        </xdr:to>
        <xdr:sp macro="" textlink="">
          <xdr:nvSpPr>
            <xdr:cNvPr id="53252" name="Object 4" hidden="1">
              <a:extLst>
                <a:ext uri="{63B3BB69-23CF-44E3-9099-C40C66FF867C}">
                  <a14:compatExt spid="_x0000_s53252"/>
                </a:ext>
                <a:ext uri="{FF2B5EF4-FFF2-40B4-BE49-F238E27FC236}">
                  <a16:creationId xmlns:a16="http://schemas.microsoft.com/office/drawing/2014/main" id="{00000000-0008-0000-1400-000004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oleObject" Target="../embeddings/oleObject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B48"/>
  <sheetViews>
    <sheetView showGridLines="0" tabSelected="1" zoomScale="80" zoomScaleNormal="8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18" t="s">
        <v>405</v>
      </c>
      <c r="J1" s="2019"/>
      <c r="K1" s="2019"/>
      <c r="L1" s="2019"/>
      <c r="M1" s="2019"/>
      <c r="N1" s="2019"/>
      <c r="O1" s="2019"/>
      <c r="P1" s="2019"/>
      <c r="Q1" s="2019"/>
      <c r="R1" s="2019"/>
      <c r="S1" s="2019"/>
    </row>
    <row r="2" spans="1:28" ht="12" customHeight="1" x14ac:dyDescent="0.2">
      <c r="A2" s="47" t="s">
        <v>1988</v>
      </c>
      <c r="D2" s="48"/>
      <c r="I2" s="2020" t="s">
        <v>979</v>
      </c>
      <c r="J2" s="2019"/>
      <c r="K2" s="2019"/>
      <c r="L2" s="2019"/>
      <c r="M2" s="2019"/>
      <c r="N2" s="2019"/>
      <c r="O2" s="2019"/>
      <c r="P2" s="2019"/>
      <c r="Q2" s="2019"/>
      <c r="R2" s="2019"/>
      <c r="S2" s="2019"/>
    </row>
    <row r="3" spans="1:28" ht="12" customHeight="1" x14ac:dyDescent="0.2">
      <c r="A3" s="155" t="s">
        <v>1940</v>
      </c>
      <c r="B3" s="156"/>
      <c r="C3" s="156"/>
      <c r="D3" s="157"/>
      <c r="I3" s="2020" t="s">
        <v>52</v>
      </c>
      <c r="J3" s="2019"/>
      <c r="K3" s="2019"/>
      <c r="L3" s="2019"/>
      <c r="M3" s="2019"/>
      <c r="N3" s="2019"/>
      <c r="O3" s="2019"/>
      <c r="P3" s="2019"/>
      <c r="Q3" s="2019"/>
      <c r="R3" s="2019"/>
      <c r="S3" s="2019"/>
    </row>
    <row r="4" spans="1:28" ht="12" customHeight="1" x14ac:dyDescent="0.2">
      <c r="A4" s="37"/>
      <c r="I4" s="2020" t="s">
        <v>524</v>
      </c>
      <c r="J4" s="2019"/>
      <c r="K4" s="2019"/>
      <c r="L4" s="2019"/>
      <c r="M4" s="2019"/>
      <c r="N4" s="2019"/>
      <c r="O4" s="2019"/>
      <c r="P4" s="2019"/>
      <c r="Q4" s="2019"/>
      <c r="R4" s="2019"/>
      <c r="S4" s="2019"/>
    </row>
    <row r="5" spans="1:28" ht="14.1" customHeight="1" x14ac:dyDescent="0.2">
      <c r="B5" s="104"/>
      <c r="C5" s="26" t="s">
        <v>910</v>
      </c>
      <c r="D5" s="84"/>
      <c r="E5" s="84"/>
      <c r="H5" s="38"/>
      <c r="I5" s="2027" t="s">
        <v>680</v>
      </c>
      <c r="J5" s="1969"/>
      <c r="K5" s="1969"/>
      <c r="L5" s="1969"/>
      <c r="M5" s="1969"/>
      <c r="N5" s="1969"/>
      <c r="O5" s="1969"/>
      <c r="P5" s="1969"/>
      <c r="Q5" s="1969"/>
      <c r="R5" s="1969"/>
      <c r="S5" s="1969"/>
    </row>
    <row r="6" spans="1:28" ht="14.1" customHeight="1" x14ac:dyDescent="0.2">
      <c r="B6" s="104" t="s">
        <v>2070</v>
      </c>
      <c r="C6" s="26" t="s">
        <v>911</v>
      </c>
      <c r="D6" s="84"/>
      <c r="E6" s="84"/>
      <c r="I6" s="2026" t="s">
        <v>883</v>
      </c>
      <c r="J6" s="1969"/>
      <c r="K6" s="1969"/>
      <c r="L6" s="1969"/>
      <c r="M6" s="1969"/>
      <c r="N6" s="1969"/>
      <c r="O6" s="1969"/>
      <c r="P6" s="1969"/>
      <c r="Q6" s="1969"/>
      <c r="R6" s="1969"/>
      <c r="S6" s="1969"/>
    </row>
    <row r="7" spans="1:28" ht="12.2" customHeight="1" x14ac:dyDescent="0.2">
      <c r="I7" s="2021">
        <v>43646</v>
      </c>
      <c r="J7" s="2022"/>
      <c r="K7" s="2022"/>
      <c r="L7" s="2022"/>
      <c r="M7" s="2022"/>
      <c r="N7" s="2022"/>
      <c r="O7" s="2022"/>
      <c r="P7" s="2022"/>
      <c r="Q7" s="2022"/>
      <c r="R7" s="2022"/>
      <c r="S7" s="202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3" t="s">
        <v>674</v>
      </c>
      <c r="J9" s="2024"/>
      <c r="K9" s="2024"/>
      <c r="L9" s="2024"/>
      <c r="M9" s="2024"/>
      <c r="N9" s="2024"/>
      <c r="O9" s="2024"/>
      <c r="P9" s="2024"/>
      <c r="Q9" s="2024"/>
      <c r="R9" s="2024"/>
      <c r="S9" s="2025"/>
      <c r="T9" s="1965" t="s">
        <v>533</v>
      </c>
      <c r="U9" s="1966"/>
      <c r="V9" s="1966"/>
      <c r="W9" s="1966"/>
      <c r="X9" s="1966"/>
      <c r="Y9" s="1966"/>
      <c r="Z9" s="1966"/>
      <c r="AA9" s="1967"/>
    </row>
    <row r="10" spans="1:28" ht="13.5" customHeight="1" x14ac:dyDescent="0.2">
      <c r="A10" s="1974" t="s">
        <v>675</v>
      </c>
      <c r="B10" s="1975"/>
      <c r="C10" s="1975"/>
      <c r="D10" s="1975"/>
      <c r="E10" s="1975"/>
      <c r="F10" s="1975"/>
      <c r="G10" s="1975"/>
      <c r="H10" s="1976"/>
      <c r="I10" s="29"/>
      <c r="J10" s="30"/>
      <c r="K10" s="28"/>
      <c r="R10" s="30"/>
      <c r="S10" s="30"/>
      <c r="T10" s="1968"/>
      <c r="U10" s="1969"/>
      <c r="V10" s="1969"/>
      <c r="W10" s="1969"/>
      <c r="X10" s="1969"/>
      <c r="Y10" s="1969"/>
      <c r="Z10" s="1969"/>
      <c r="AA10" s="1970"/>
    </row>
    <row r="11" spans="1:28" ht="14.25" customHeight="1" x14ac:dyDescent="0.2">
      <c r="A11" s="1977" t="s">
        <v>955</v>
      </c>
      <c r="B11" s="1978"/>
      <c r="C11" s="1978"/>
      <c r="D11" s="1978"/>
      <c r="E11" s="1978"/>
      <c r="F11" s="1978"/>
      <c r="G11" s="1978"/>
      <c r="H11" s="1979"/>
      <c r="I11" s="27"/>
      <c r="J11" s="74"/>
      <c r="K11" s="27"/>
      <c r="O11" s="148" t="s">
        <v>2070</v>
      </c>
      <c r="P11" s="100" t="s">
        <v>201</v>
      </c>
      <c r="Q11" s="30"/>
      <c r="R11" s="28"/>
      <c r="S11" s="27"/>
      <c r="T11" s="1971"/>
      <c r="U11" s="1972"/>
      <c r="V11" s="1972"/>
      <c r="W11" s="1972"/>
      <c r="X11" s="1972"/>
      <c r="Y11" s="1972"/>
      <c r="Z11" s="1972"/>
      <c r="AA11" s="197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5">
        <v>24032101061</v>
      </c>
      <c r="B13" s="1986"/>
      <c r="C13" s="1986"/>
      <c r="D13" s="1986"/>
      <c r="E13" s="1986"/>
      <c r="F13" s="1986"/>
      <c r="G13" s="1986"/>
      <c r="H13" s="1987"/>
      <c r="I13" s="31"/>
      <c r="J13" s="30"/>
      <c r="K13" s="28"/>
      <c r="L13" s="30"/>
      <c r="M13" s="30"/>
      <c r="N13" s="30"/>
      <c r="O13" s="30"/>
      <c r="P13" s="30"/>
      <c r="Q13" s="30"/>
      <c r="R13" s="30"/>
      <c r="S13" s="30"/>
      <c r="T13" s="1990" t="s">
        <v>2061</v>
      </c>
      <c r="U13" s="1991"/>
      <c r="V13" s="1991"/>
      <c r="W13" s="1991"/>
      <c r="X13" s="1991"/>
      <c r="Y13" s="1992"/>
      <c r="Z13" s="1992"/>
      <c r="AA13" s="199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3" t="s">
        <v>2071</v>
      </c>
      <c r="B15" s="1988"/>
      <c r="C15" s="1988"/>
      <c r="D15" s="1988"/>
      <c r="E15" s="1988"/>
      <c r="F15" s="1988"/>
      <c r="G15" s="1988"/>
      <c r="H15" s="1989"/>
      <c r="T15" s="1994" t="s">
        <v>2062</v>
      </c>
      <c r="U15" s="1995"/>
      <c r="V15" s="1995"/>
      <c r="W15" s="1995"/>
      <c r="X15" s="1995"/>
      <c r="Y15" s="1996"/>
      <c r="Z15" s="1996"/>
      <c r="AA15" s="199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15" t="s">
        <v>2183</v>
      </c>
      <c r="B17" s="2016"/>
      <c r="C17" s="2016"/>
      <c r="D17" s="2016"/>
      <c r="E17" s="2016"/>
      <c r="F17" s="2016"/>
      <c r="G17" s="2016"/>
      <c r="H17" s="2017"/>
      <c r="T17" s="2002" t="s">
        <v>2063</v>
      </c>
      <c r="U17" s="2003"/>
      <c r="V17" s="2003"/>
      <c r="W17" s="2003"/>
      <c r="X17" s="2003"/>
      <c r="Y17" s="2003"/>
      <c r="Z17" s="2003"/>
      <c r="AA17" s="2004"/>
    </row>
    <row r="18" spans="1:27" ht="13.5" customHeight="1" x14ac:dyDescent="0.2">
      <c r="A18" s="85" t="s">
        <v>530</v>
      </c>
      <c r="B18" s="76"/>
      <c r="C18" s="72"/>
      <c r="D18" s="76"/>
      <c r="E18" s="76"/>
      <c r="F18" s="76"/>
      <c r="G18" s="76"/>
      <c r="H18" s="56"/>
      <c r="I18" s="2012" t="s">
        <v>676</v>
      </c>
      <c r="J18" s="2013"/>
      <c r="K18" s="2013"/>
      <c r="L18" s="2013"/>
      <c r="M18" s="2013"/>
      <c r="N18" s="2013"/>
      <c r="O18" s="2013"/>
      <c r="P18" s="2013"/>
      <c r="Q18" s="2013"/>
      <c r="R18" s="2013"/>
      <c r="S18" s="2014"/>
      <c r="T18" s="85" t="s">
        <v>711</v>
      </c>
      <c r="U18" s="51"/>
      <c r="V18" s="72"/>
      <c r="W18" s="50"/>
      <c r="X18" s="85" t="s">
        <v>266</v>
      </c>
      <c r="Y18" s="81"/>
      <c r="Z18" s="159" t="s">
        <v>677</v>
      </c>
      <c r="AA18" s="46"/>
    </row>
    <row r="19" spans="1:27" ht="13.5" customHeight="1" x14ac:dyDescent="0.2">
      <c r="A19" s="1983" t="s">
        <v>2072</v>
      </c>
      <c r="B19" s="1984"/>
      <c r="C19" s="1984"/>
      <c r="D19" s="1984"/>
      <c r="E19" s="1984"/>
      <c r="F19" s="1984"/>
      <c r="G19" s="1984"/>
      <c r="H19" s="1982"/>
      <c r="I19" s="30"/>
      <c r="J19" s="99"/>
      <c r="K19" s="40"/>
      <c r="L19" s="38"/>
      <c r="M19" s="112" t="s">
        <v>315</v>
      </c>
      <c r="P19" s="27"/>
      <c r="Q19" s="27"/>
      <c r="R19" s="27"/>
      <c r="S19" s="31"/>
      <c r="T19" s="1983" t="s">
        <v>2064</v>
      </c>
      <c r="U19" s="1981"/>
      <c r="V19" s="1981"/>
      <c r="W19" s="1982"/>
      <c r="X19" s="2000" t="s">
        <v>2065</v>
      </c>
      <c r="Y19" s="2001"/>
      <c r="Z19" s="1998">
        <v>60450</v>
      </c>
      <c r="AA19" s="199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0" t="s">
        <v>2064</v>
      </c>
      <c r="B21" s="1981"/>
      <c r="C21" s="1981"/>
      <c r="D21" s="1981"/>
      <c r="E21" s="1981"/>
      <c r="F21" s="1981"/>
      <c r="G21" s="1981"/>
      <c r="H21" s="1982"/>
      <c r="I21" s="2008" t="s">
        <v>678</v>
      </c>
      <c r="J21" s="1969"/>
      <c r="K21" s="1969"/>
      <c r="L21" s="1969"/>
      <c r="M21" s="1969"/>
      <c r="N21" s="1969"/>
      <c r="O21" s="1969"/>
      <c r="P21" s="1969"/>
      <c r="Q21" s="1969"/>
      <c r="R21" s="1969"/>
      <c r="S21" s="1970"/>
      <c r="T21" s="1948" t="s">
        <v>2066</v>
      </c>
      <c r="U21" s="1949"/>
      <c r="V21" s="1949"/>
      <c r="W21" s="1949"/>
      <c r="X21" s="1962" t="s">
        <v>2067</v>
      </c>
      <c r="Y21" s="1963"/>
      <c r="Z21" s="1963"/>
      <c r="AA21" s="1964"/>
    </row>
    <row r="22" spans="1:27" ht="13.5" customHeight="1" x14ac:dyDescent="0.2">
      <c r="A22" s="87" t="s">
        <v>531</v>
      </c>
      <c r="B22" s="59"/>
      <c r="C22" s="59"/>
      <c r="D22" s="59"/>
      <c r="E22" s="59"/>
      <c r="F22" s="59"/>
      <c r="G22" s="59"/>
      <c r="H22" s="60"/>
      <c r="I22" s="2009" t="s">
        <v>1429</v>
      </c>
      <c r="J22" s="2010"/>
      <c r="K22" s="2010"/>
      <c r="L22" s="2010"/>
      <c r="M22" s="2010"/>
      <c r="N22" s="2010"/>
      <c r="O22" s="2010"/>
      <c r="P22" s="2010"/>
      <c r="Q22" s="2010"/>
      <c r="R22" s="2010"/>
      <c r="S22" s="2011"/>
      <c r="T22" s="85" t="s">
        <v>1516</v>
      </c>
      <c r="U22" s="51"/>
      <c r="V22" s="72"/>
      <c r="W22" s="51"/>
      <c r="X22" s="160" t="s">
        <v>1318</v>
      </c>
      <c r="Z22" s="45"/>
      <c r="AA22" s="46"/>
    </row>
    <row r="23" spans="1:27" ht="13.5" customHeight="1" x14ac:dyDescent="0.2">
      <c r="A23" s="2005" t="s">
        <v>2179</v>
      </c>
      <c r="B23" s="2006"/>
      <c r="C23" s="2006"/>
      <c r="D23" s="2006"/>
      <c r="E23" s="2006"/>
      <c r="F23" s="2006"/>
      <c r="G23" s="2006"/>
      <c r="H23" s="2007"/>
      <c r="T23" s="1943" t="s">
        <v>2068</v>
      </c>
      <c r="U23" s="1944"/>
      <c r="V23" s="1944"/>
      <c r="W23" s="1944"/>
      <c r="X23" s="1959">
        <v>44530</v>
      </c>
      <c r="Y23" s="1960"/>
      <c r="Z23" s="1960"/>
      <c r="AA23" s="1961"/>
    </row>
    <row r="24" spans="1:27" ht="14.1" customHeight="1" x14ac:dyDescent="0.2">
      <c r="A24" s="88" t="s">
        <v>677</v>
      </c>
      <c r="B24" s="49"/>
      <c r="C24" s="49"/>
      <c r="D24" s="49"/>
      <c r="E24" s="49"/>
      <c r="F24" s="49"/>
      <c r="G24" s="49"/>
      <c r="H24" s="61"/>
      <c r="J24" s="2048" t="str">
        <f>IF(B5="x",IF(AUDITCHECK!D29="AFR form Incomplete.","",IF(AUDITCHECK!D29="Deficit reduction plan is required.","School District must complete a deficit reduction plan in the 2019-2020 Budget",)),"")</f>
        <v/>
      </c>
      <c r="K24" s="2048"/>
      <c r="L24" s="2048"/>
      <c r="M24" s="2048"/>
      <c r="N24" s="2048"/>
      <c r="O24" s="2048"/>
      <c r="P24" s="2048"/>
      <c r="Q24" s="2048"/>
      <c r="R24" s="2048"/>
      <c r="S24" s="2049"/>
      <c r="T24" s="105" t="s">
        <v>531</v>
      </c>
      <c r="U24" s="106"/>
      <c r="V24" s="106"/>
      <c r="W24" s="106"/>
      <c r="X24" s="107"/>
      <c r="Y24" s="107"/>
      <c r="Z24" s="107"/>
      <c r="AA24" s="108"/>
    </row>
    <row r="25" spans="1:27" ht="14.1" customHeight="1" x14ac:dyDescent="0.2">
      <c r="A25" s="1980">
        <v>60450</v>
      </c>
      <c r="B25" s="1981"/>
      <c r="C25" s="1981"/>
      <c r="D25" s="1981"/>
      <c r="E25" s="1981"/>
      <c r="F25" s="1981"/>
      <c r="G25" s="1981"/>
      <c r="H25" s="1982"/>
      <c r="I25" s="113"/>
      <c r="J25" s="2050"/>
      <c r="K25" s="2050"/>
      <c r="L25" s="2050"/>
      <c r="M25" s="2050"/>
      <c r="N25" s="2050"/>
      <c r="O25" s="2050"/>
      <c r="P25" s="2050"/>
      <c r="Q25" s="2050"/>
      <c r="R25" s="2050"/>
      <c r="S25" s="2051"/>
      <c r="T25" s="1940" t="s">
        <v>2069</v>
      </c>
      <c r="U25" s="1941"/>
      <c r="V25" s="1941"/>
      <c r="W25" s="1941"/>
      <c r="X25" s="1941"/>
      <c r="Y25" s="1941"/>
      <c r="Z25" s="1941"/>
      <c r="AA25" s="194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1" t="s">
        <v>1511</v>
      </c>
      <c r="J27" s="2013"/>
      <c r="K27" s="2013"/>
      <c r="L27" s="2013"/>
      <c r="M27" s="2013"/>
      <c r="N27" s="2013"/>
      <c r="O27" s="2013"/>
      <c r="P27" s="2013"/>
      <c r="Q27" s="2013"/>
      <c r="R27" s="2013"/>
      <c r="S27" s="201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2070</v>
      </c>
      <c r="F29" s="141" t="s">
        <v>1316</v>
      </c>
      <c r="G29" s="114"/>
      <c r="I29" s="54"/>
      <c r="J29" s="148" t="s">
        <v>2070</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2070</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2070</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4"/>
      <c r="Q35" s="1981"/>
      <c r="R35" s="198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15" t="s">
        <v>2073</v>
      </c>
      <c r="B38" s="2016"/>
      <c r="C38" s="2016"/>
      <c r="D38" s="2016"/>
      <c r="E38" s="2016"/>
      <c r="F38" s="1981"/>
      <c r="G38" s="1981"/>
      <c r="H38" s="1982"/>
      <c r="I38" s="2035"/>
      <c r="J38" s="1952"/>
      <c r="K38" s="1952"/>
      <c r="L38" s="1952"/>
      <c r="M38" s="1952"/>
      <c r="N38" s="1952"/>
      <c r="O38" s="1952"/>
      <c r="P38" s="1953"/>
      <c r="Q38" s="1953"/>
      <c r="R38" s="1953"/>
      <c r="S38" s="1954"/>
      <c r="T38" s="1951"/>
      <c r="U38" s="1952"/>
      <c r="V38" s="1952"/>
      <c r="W38" s="1952"/>
      <c r="X38" s="1953"/>
      <c r="Y38" s="1953"/>
      <c r="Z38" s="1953"/>
      <c r="AA38" s="1954"/>
    </row>
    <row r="39" spans="1:27" ht="12" customHeight="1" x14ac:dyDescent="0.2">
      <c r="A39" s="2039" t="s">
        <v>531</v>
      </c>
      <c r="B39" s="2040"/>
      <c r="C39" s="72"/>
      <c r="D39" s="69"/>
      <c r="E39" s="69"/>
      <c r="F39" s="79"/>
      <c r="G39" s="69"/>
      <c r="H39" s="56"/>
      <c r="I39" s="2039" t="s">
        <v>531</v>
      </c>
      <c r="J39" s="2040"/>
      <c r="K39" s="2040"/>
      <c r="L39" s="2040"/>
      <c r="M39" s="2040"/>
      <c r="N39" s="67"/>
      <c r="O39" s="72"/>
      <c r="P39" s="72"/>
      <c r="Q39" s="78"/>
      <c r="R39" s="72"/>
      <c r="S39" s="56"/>
      <c r="T39" s="72" t="s">
        <v>531</v>
      </c>
      <c r="U39" s="51"/>
      <c r="V39" s="72"/>
      <c r="W39" s="50"/>
      <c r="X39" s="78"/>
      <c r="Y39" s="45"/>
      <c r="Z39" s="45"/>
      <c r="AA39" s="46"/>
    </row>
    <row r="40" spans="1:27" ht="13.5" customHeight="1" x14ac:dyDescent="0.2">
      <c r="A40" s="2042" t="s">
        <v>2074</v>
      </c>
      <c r="B40" s="2043"/>
      <c r="C40" s="2044"/>
      <c r="D40" s="2044"/>
      <c r="E40" s="2044"/>
      <c r="F40" s="2045"/>
      <c r="G40" s="2045"/>
      <c r="H40" s="2046"/>
      <c r="I40" s="1955"/>
      <c r="J40" s="1957"/>
      <c r="K40" s="1957"/>
      <c r="L40" s="1957"/>
      <c r="M40" s="1957"/>
      <c r="N40" s="1957"/>
      <c r="O40" s="1957"/>
      <c r="P40" s="1957"/>
      <c r="Q40" s="1957"/>
      <c r="R40" s="1957"/>
      <c r="S40" s="1958"/>
      <c r="T40" s="1955"/>
      <c r="U40" s="1956"/>
      <c r="V40" s="1957"/>
      <c r="W40" s="1957"/>
      <c r="X40" s="1957"/>
      <c r="Y40" s="1957"/>
      <c r="Z40" s="1957"/>
      <c r="AA40" s="195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2" t="s">
        <v>2075</v>
      </c>
      <c r="B42" s="2033"/>
      <c r="C42" s="2034"/>
      <c r="D42" s="2047" t="s">
        <v>2076</v>
      </c>
      <c r="E42" s="2033"/>
      <c r="F42" s="2033"/>
      <c r="G42" s="2033"/>
      <c r="H42" s="2034"/>
      <c r="I42" s="1950"/>
      <c r="J42" s="1946"/>
      <c r="K42" s="1946"/>
      <c r="L42" s="1946"/>
      <c r="M42" s="1946"/>
      <c r="N42" s="1946"/>
      <c r="O42" s="1947"/>
      <c r="P42" s="1945"/>
      <c r="Q42" s="1946"/>
      <c r="R42" s="1946"/>
      <c r="S42" s="1947"/>
      <c r="T42" s="1950"/>
      <c r="U42" s="1946"/>
      <c r="V42" s="1946"/>
      <c r="W42" s="1947"/>
      <c r="X42" s="1945"/>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6"/>
      <c r="B44" s="2037"/>
      <c r="C44" s="2037"/>
      <c r="D44" s="2037"/>
      <c r="E44" s="2037"/>
      <c r="F44" s="2037"/>
      <c r="G44" s="2037"/>
      <c r="H44" s="2038"/>
      <c r="I44" s="2028"/>
      <c r="J44" s="2030"/>
      <c r="K44" s="2030"/>
      <c r="L44" s="2030"/>
      <c r="M44" s="2030"/>
      <c r="N44" s="2030"/>
      <c r="O44" s="2030"/>
      <c r="P44" s="2030"/>
      <c r="Q44" s="2030"/>
      <c r="R44" s="2030"/>
      <c r="S44" s="2031"/>
      <c r="T44" s="2028"/>
      <c r="U44" s="2029"/>
      <c r="V44" s="2029"/>
      <c r="W44" s="2029"/>
      <c r="X44" s="2029"/>
      <c r="Y44" s="2029"/>
      <c r="Z44" s="2030"/>
      <c r="AA44" s="203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colorId="8" zoomScale="110" zoomScaleNormal="110" workbookViewId="0">
      <selection activeCell="B1" sqref="B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185" t="s">
        <v>1799</v>
      </c>
      <c r="B2" s="1526" t="s">
        <v>1946</v>
      </c>
      <c r="C2" s="714" t="s">
        <v>1947</v>
      </c>
      <c r="D2" s="714" t="s">
        <v>1948</v>
      </c>
      <c r="E2" s="714" t="s">
        <v>1949</v>
      </c>
      <c r="F2" s="714" t="s">
        <v>1950</v>
      </c>
    </row>
    <row r="3" spans="1:6" ht="12" customHeight="1" x14ac:dyDescent="0.2">
      <c r="A3" s="2186"/>
      <c r="B3" s="1523"/>
      <c r="C3" s="1524"/>
      <c r="D3" s="1525" t="s">
        <v>256</v>
      </c>
      <c r="E3" s="1524"/>
      <c r="F3" s="1525" t="s">
        <v>257</v>
      </c>
    </row>
    <row r="4" spans="1:6" ht="13.7" customHeight="1" x14ac:dyDescent="0.2">
      <c r="A4" s="715" t="s">
        <v>1155</v>
      </c>
      <c r="B4" s="1747">
        <f>'Revenues 9-14'!C5</f>
        <v>0</v>
      </c>
      <c r="C4" s="1522"/>
      <c r="D4" s="1750">
        <f>B4-C4</f>
        <v>0</v>
      </c>
      <c r="E4" s="1522"/>
      <c r="F4" s="1750">
        <f>E4-C4</f>
        <v>0</v>
      </c>
    </row>
    <row r="5" spans="1:6" ht="13.7" customHeight="1" x14ac:dyDescent="0.2">
      <c r="A5" s="715" t="s">
        <v>870</v>
      </c>
      <c r="B5" s="1748">
        <f>'Revenues 9-14'!D5</f>
        <v>0</v>
      </c>
      <c r="C5" s="585"/>
      <c r="D5" s="1751">
        <f t="shared" ref="D5:D18" si="0">B5-C5</f>
        <v>0</v>
      </c>
      <c r="E5" s="585"/>
      <c r="F5" s="1751">
        <f>E5-C5</f>
        <v>0</v>
      </c>
    </row>
    <row r="6" spans="1:6" ht="13.7" customHeight="1" x14ac:dyDescent="0.2">
      <c r="A6" s="715" t="s">
        <v>411</v>
      </c>
      <c r="B6" s="1748">
        <f>'Revenues 9-14'!E5</f>
        <v>0</v>
      </c>
      <c r="C6" s="585"/>
      <c r="D6" s="1751">
        <f t="shared" si="0"/>
        <v>0</v>
      </c>
      <c r="E6" s="585"/>
      <c r="F6" s="1751">
        <f t="shared" ref="F6:F18" si="1">E6-C6</f>
        <v>0</v>
      </c>
    </row>
    <row r="7" spans="1:6" ht="13.7" customHeight="1" x14ac:dyDescent="0.2">
      <c r="A7" s="715" t="s">
        <v>155</v>
      </c>
      <c r="B7" s="1748">
        <f>'Revenues 9-14'!F5</f>
        <v>0</v>
      </c>
      <c r="C7" s="585"/>
      <c r="D7" s="1751">
        <f t="shared" si="0"/>
        <v>0</v>
      </c>
      <c r="E7" s="585"/>
      <c r="F7" s="1751">
        <f t="shared" si="1"/>
        <v>0</v>
      </c>
    </row>
    <row r="8" spans="1:6" ht="13.7" customHeight="1" x14ac:dyDescent="0.2">
      <c r="A8" s="715" t="s">
        <v>1179</v>
      </c>
      <c r="B8" s="1748">
        <f>'Revenues 9-14'!G5</f>
        <v>0</v>
      </c>
      <c r="C8" s="585"/>
      <c r="D8" s="1751">
        <f t="shared" si="0"/>
        <v>0</v>
      </c>
      <c r="E8" s="585"/>
      <c r="F8" s="1751">
        <f t="shared" si="1"/>
        <v>0</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0</v>
      </c>
      <c r="C10" s="585"/>
      <c r="D10" s="1751">
        <f t="shared" si="0"/>
        <v>0</v>
      </c>
      <c r="E10" s="585"/>
      <c r="F10" s="1751">
        <f t="shared" si="1"/>
        <v>0</v>
      </c>
    </row>
    <row r="11" spans="1:6" x14ac:dyDescent="0.2">
      <c r="A11" s="715" t="s">
        <v>409</v>
      </c>
      <c r="B11" s="1748">
        <f>'Revenues 9-14'!J5</f>
        <v>0</v>
      </c>
      <c r="C11" s="585"/>
      <c r="D11" s="1751">
        <f t="shared" si="0"/>
        <v>0</v>
      </c>
      <c r="E11" s="585"/>
      <c r="F11" s="1751">
        <f t="shared" si="1"/>
        <v>0</v>
      </c>
    </row>
    <row r="12" spans="1:6" ht="13.7" customHeight="1" x14ac:dyDescent="0.2">
      <c r="A12" s="715" t="s">
        <v>157</v>
      </c>
      <c r="B12" s="1748">
        <f>'Revenues 9-14'!K5</f>
        <v>0</v>
      </c>
      <c r="C12" s="585"/>
      <c r="D12" s="1751">
        <f t="shared" si="0"/>
        <v>0</v>
      </c>
      <c r="E12" s="585"/>
      <c r="F12" s="1751">
        <f t="shared" si="1"/>
        <v>0</v>
      </c>
    </row>
    <row r="13" spans="1:6" ht="13.7" customHeight="1" x14ac:dyDescent="0.2">
      <c r="A13" s="715" t="s">
        <v>936</v>
      </c>
      <c r="B13" s="1748">
        <f>SUM('Revenues 9-14'!C6:D6)</f>
        <v>0</v>
      </c>
      <c r="C13" s="585"/>
      <c r="D13" s="1751">
        <f t="shared" si="0"/>
        <v>0</v>
      </c>
      <c r="E13" s="585"/>
      <c r="F13" s="1751">
        <f t="shared" si="1"/>
        <v>0</v>
      </c>
    </row>
    <row r="14" spans="1:6" ht="13.7" customHeight="1" x14ac:dyDescent="0.2">
      <c r="A14" s="715" t="s">
        <v>410</v>
      </c>
      <c r="B14" s="1748">
        <f>SUM('Revenues 9-14'!C7:D7,'Revenues 9-14'!F7:H7)</f>
        <v>0</v>
      </c>
      <c r="C14" s="585"/>
      <c r="D14" s="1751">
        <f t="shared" si="0"/>
        <v>0</v>
      </c>
      <c r="E14" s="585"/>
      <c r="F14" s="1751">
        <f t="shared" si="1"/>
        <v>0</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0</v>
      </c>
      <c r="C16" s="585"/>
      <c r="D16" s="1751">
        <f t="shared" si="0"/>
        <v>0</v>
      </c>
      <c r="E16" s="585"/>
      <c r="F16" s="1751">
        <f t="shared" si="1"/>
        <v>0</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0</v>
      </c>
      <c r="C19" s="1749">
        <f>SUM(C4:C18)</f>
        <v>0</v>
      </c>
      <c r="D19" s="1749">
        <f>SUM(D4:D18)</f>
        <v>0</v>
      </c>
      <c r="E19" s="1749">
        <f>SUM(E4:E18)</f>
        <v>0</v>
      </c>
      <c r="F19" s="1749">
        <f>SUM(F4:F18)</f>
        <v>0</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topLeftCell="A25"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1" t="s">
        <v>629</v>
      </c>
      <c r="B1" s="2192"/>
      <c r="C1" s="721"/>
    </row>
    <row r="2" spans="1:7" ht="33.75" x14ac:dyDescent="0.2">
      <c r="A2" s="2200" t="s">
        <v>1799</v>
      </c>
      <c r="B2" s="2201"/>
      <c r="C2" s="1882" t="s">
        <v>1951</v>
      </c>
      <c r="D2" s="723" t="s">
        <v>1952</v>
      </c>
      <c r="E2" s="723" t="s">
        <v>1953</v>
      </c>
      <c r="F2" s="1882" t="s">
        <v>1954</v>
      </c>
    </row>
    <row r="3" spans="1:7" ht="15.75" customHeight="1" x14ac:dyDescent="0.2">
      <c r="A3" s="2204" t="s">
        <v>1114</v>
      </c>
      <c r="B3" s="2205"/>
      <c r="C3" s="2193"/>
      <c r="D3" s="2194"/>
      <c r="E3" s="2194"/>
      <c r="F3" s="2195"/>
    </row>
    <row r="4" spans="1:7" ht="12.75" customHeight="1" thickBot="1" x14ac:dyDescent="0.25">
      <c r="A4" s="2202" t="s">
        <v>630</v>
      </c>
      <c r="B4" s="2203"/>
      <c r="C4" s="581"/>
      <c r="D4" s="581"/>
      <c r="E4" s="581"/>
      <c r="F4" s="1753">
        <f>SUM(C4+D4)-E4</f>
        <v>0</v>
      </c>
    </row>
    <row r="5" spans="1:7" ht="15.75" customHeight="1" thickTop="1" x14ac:dyDescent="0.2">
      <c r="A5" s="2187" t="s">
        <v>1110</v>
      </c>
      <c r="B5" s="2188"/>
      <c r="C5" s="2196"/>
      <c r="D5" s="2197"/>
      <c r="E5" s="2197"/>
      <c r="F5" s="2198"/>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189" t="s">
        <v>631</v>
      </c>
      <c r="B15" s="2190"/>
      <c r="C15" s="1753">
        <f>SUM(C6:C14)</f>
        <v>0</v>
      </c>
      <c r="D15" s="1753">
        <f>SUM(D6:D14)</f>
        <v>0</v>
      </c>
      <c r="E15" s="1753">
        <f>SUM(E6:E14)</f>
        <v>0</v>
      </c>
      <c r="F15" s="1753">
        <f>SUM(F6:F14)</f>
        <v>0</v>
      </c>
      <c r="G15" s="552"/>
    </row>
    <row r="16" spans="1:7" s="202" customFormat="1" ht="15.75" customHeight="1" thickTop="1" x14ac:dyDescent="0.2">
      <c r="A16" s="2199" t="s">
        <v>1111</v>
      </c>
      <c r="B16" s="2188"/>
      <c r="C16" s="2196"/>
      <c r="D16" s="2197"/>
      <c r="E16" s="2197"/>
      <c r="F16" s="2198"/>
    </row>
    <row r="17" spans="1:11" ht="12.75" customHeight="1" thickBot="1" x14ac:dyDescent="0.25">
      <c r="A17" s="2212" t="s">
        <v>64</v>
      </c>
      <c r="B17" s="2213"/>
      <c r="C17" s="726"/>
      <c r="D17" s="585"/>
      <c r="E17" s="726"/>
      <c r="F17" s="1753">
        <f>SUM(C17+D17)-E17</f>
        <v>0</v>
      </c>
    </row>
    <row r="18" spans="1:11" ht="12.75" customHeight="1" thickTop="1" thickBot="1" x14ac:dyDescent="0.25">
      <c r="A18" s="2212" t="s">
        <v>6</v>
      </c>
      <c r="B18" s="2213"/>
      <c r="C18" s="726"/>
      <c r="D18" s="585"/>
      <c r="E18" s="726"/>
      <c r="F18" s="1753">
        <f>SUM(C18+D18)-E18</f>
        <v>0</v>
      </c>
    </row>
    <row r="19" spans="1:11" ht="12.75" customHeight="1" thickTop="1" thickBot="1" x14ac:dyDescent="0.25">
      <c r="A19" s="2212" t="s">
        <v>388</v>
      </c>
      <c r="B19" s="2213"/>
      <c r="C19" s="726"/>
      <c r="D19" s="585"/>
      <c r="E19" s="726"/>
      <c r="F19" s="1753">
        <f>SUM(C19+D19)-E19</f>
        <v>0</v>
      </c>
    </row>
    <row r="20" spans="1:11" ht="12.75" customHeight="1" thickTop="1" thickBot="1" x14ac:dyDescent="0.25">
      <c r="A20" s="2212" t="s">
        <v>448</v>
      </c>
      <c r="B20" s="2213"/>
      <c r="C20" s="726"/>
      <c r="D20" s="585"/>
      <c r="E20" s="726"/>
      <c r="F20" s="1753">
        <f>SUM(C20+D20)-E20</f>
        <v>0</v>
      </c>
    </row>
    <row r="21" spans="1:11" ht="14.25" thickTop="1" thickBot="1" x14ac:dyDescent="0.25">
      <c r="A21" s="2189" t="s">
        <v>632</v>
      </c>
      <c r="B21" s="2190"/>
      <c r="C21" s="1753">
        <f>SUM(C17:C20)</f>
        <v>0</v>
      </c>
      <c r="D21" s="1753">
        <f>SUM(D17:D20)</f>
        <v>0</v>
      </c>
      <c r="E21" s="1753">
        <f>SUM(E17:E20)</f>
        <v>0</v>
      </c>
      <c r="F21" s="1753">
        <f>SUM(F17:F20)</f>
        <v>0</v>
      </c>
      <c r="G21" s="552"/>
    </row>
    <row r="22" spans="1:11" ht="15.75" customHeight="1" thickTop="1" x14ac:dyDescent="0.2">
      <c r="A22" s="2214" t="s">
        <v>1112</v>
      </c>
      <c r="B22" s="2188"/>
      <c r="C22" s="2196"/>
      <c r="D22" s="2197"/>
      <c r="E22" s="2197"/>
      <c r="F22" s="2198"/>
    </row>
    <row r="23" spans="1:11" ht="13.5" thickBot="1" x14ac:dyDescent="0.25">
      <c r="A23" s="2202" t="s">
        <v>633</v>
      </c>
      <c r="B23" s="2203"/>
      <c r="C23" s="581"/>
      <c r="D23" s="581"/>
      <c r="E23" s="581"/>
      <c r="F23" s="1753">
        <f>SUM(C23+D23)-E23</f>
        <v>0</v>
      </c>
      <c r="G23" s="552"/>
    </row>
    <row r="24" spans="1:11" ht="15.75" customHeight="1" thickTop="1" x14ac:dyDescent="0.2">
      <c r="A24" s="2214" t="s">
        <v>1113</v>
      </c>
      <c r="B24" s="2188"/>
      <c r="C24" s="2196"/>
      <c r="D24" s="2197"/>
      <c r="E24" s="2197"/>
      <c r="F24" s="2198"/>
    </row>
    <row r="25" spans="1:11" ht="13.5" thickBot="1" x14ac:dyDescent="0.25">
      <c r="A25" s="2202" t="s">
        <v>634</v>
      </c>
      <c r="B25" s="2203"/>
      <c r="C25" s="581"/>
      <c r="D25" s="581"/>
      <c r="E25" s="581"/>
      <c r="F25" s="1753">
        <f>SUM(C25+D25)-E25</f>
        <v>0</v>
      </c>
      <c r="G25" s="552"/>
    </row>
    <row r="26" spans="1:11" ht="15.75" customHeight="1" thickTop="1" x14ac:dyDescent="0.2">
      <c r="A26" s="2187" t="s">
        <v>657</v>
      </c>
      <c r="B26" s="2188"/>
      <c r="C26" s="727"/>
      <c r="D26" s="727"/>
      <c r="E26" s="727"/>
      <c r="F26" s="728"/>
    </row>
    <row r="27" spans="1:11" ht="13.5" thickBot="1" x14ac:dyDescent="0.25">
      <c r="A27" s="2189" t="s">
        <v>1070</v>
      </c>
      <c r="B27" s="2190"/>
      <c r="C27" s="585"/>
      <c r="D27" s="585"/>
      <c r="E27" s="585"/>
      <c r="F27" s="1753">
        <f>SUM(C27+D27)-E27</f>
        <v>0</v>
      </c>
      <c r="G27" s="552"/>
    </row>
    <row r="28" spans="1:11" ht="7.5" customHeight="1" thickTop="1" x14ac:dyDescent="0.2">
      <c r="A28" s="593"/>
    </row>
    <row r="29" spans="1:11" ht="23.25" customHeight="1" x14ac:dyDescent="0.2">
      <c r="A29" s="2215" t="s">
        <v>582</v>
      </c>
      <c r="B29" s="2192"/>
      <c r="C29" s="729"/>
      <c r="D29" s="729"/>
      <c r="E29" s="729"/>
      <c r="F29" s="729"/>
      <c r="G29" s="729"/>
      <c r="H29" s="729"/>
      <c r="I29" s="729"/>
      <c r="J29" s="729"/>
    </row>
    <row r="30" spans="1:11" ht="33.75" x14ac:dyDescent="0.2">
      <c r="A30" s="1527" t="s">
        <v>1071</v>
      </c>
      <c r="B30" s="730" t="s">
        <v>1124</v>
      </c>
      <c r="C30" s="1883" t="s">
        <v>583</v>
      </c>
      <c r="D30" s="1883" t="s">
        <v>1673</v>
      </c>
      <c r="E30" s="1883" t="s">
        <v>1955</v>
      </c>
      <c r="F30" s="1883" t="s">
        <v>1956</v>
      </c>
      <c r="G30" s="1883" t="s">
        <v>1907</v>
      </c>
      <c r="H30" s="1883" t="s">
        <v>1957</v>
      </c>
      <c r="I30" s="1883" t="s">
        <v>1958</v>
      </c>
      <c r="J30" s="1884" t="s">
        <v>2</v>
      </c>
      <c r="K30" s="731"/>
    </row>
    <row r="31" spans="1:11" ht="12" customHeight="1" x14ac:dyDescent="0.2">
      <c r="A31" s="732"/>
      <c r="B31" s="733"/>
      <c r="C31" s="734"/>
      <c r="D31" s="735"/>
      <c r="E31" s="734"/>
      <c r="F31" s="734"/>
      <c r="G31" s="734"/>
      <c r="H31" s="734"/>
      <c r="I31" s="1754">
        <f>((E31+F31)-H31)+G31</f>
        <v>0</v>
      </c>
      <c r="J31" s="734"/>
      <c r="K31" s="736"/>
    </row>
    <row r="32" spans="1:11" ht="12" customHeight="1" x14ac:dyDescent="0.2">
      <c r="A32" s="732"/>
      <c r="B32" s="733"/>
      <c r="C32" s="734"/>
      <c r="D32" s="735"/>
      <c r="E32" s="734"/>
      <c r="F32" s="734"/>
      <c r="G32" s="734"/>
      <c r="H32" s="734"/>
      <c r="I32" s="1754">
        <f>((E32+F32)-H32)+G32</f>
        <v>0</v>
      </c>
      <c r="J32" s="734"/>
      <c r="K32" s="736"/>
    </row>
    <row r="33" spans="1:11" ht="12" customHeight="1" x14ac:dyDescent="0.2">
      <c r="A33" s="732"/>
      <c r="B33" s="733"/>
      <c r="C33" s="734"/>
      <c r="D33" s="735"/>
      <c r="E33" s="734"/>
      <c r="F33" s="734"/>
      <c r="G33" s="734"/>
      <c r="H33" s="734"/>
      <c r="I33" s="1754">
        <f t="shared" ref="I33:I48" si="1">((E33+F33)-H33)+G33</f>
        <v>0</v>
      </c>
      <c r="J33" s="734"/>
      <c r="K33" s="736"/>
    </row>
    <row r="34" spans="1:11" ht="12" customHeight="1" x14ac:dyDescent="0.2">
      <c r="A34" s="732"/>
      <c r="B34" s="733"/>
      <c r="C34" s="734"/>
      <c r="D34" s="735"/>
      <c r="E34" s="734"/>
      <c r="F34" s="734"/>
      <c r="G34" s="734"/>
      <c r="H34" s="734"/>
      <c r="I34" s="1754">
        <f t="shared" si="1"/>
        <v>0</v>
      </c>
      <c r="J34" s="734"/>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0</v>
      </c>
      <c r="D49" s="745"/>
      <c r="E49" s="1754">
        <f t="shared" ref="E49:J49" si="2">SUM(E31:E48)</f>
        <v>0</v>
      </c>
      <c r="F49" s="1754">
        <f t="shared" si="2"/>
        <v>0</v>
      </c>
      <c r="G49" s="1754">
        <f t="shared" si="2"/>
        <v>0</v>
      </c>
      <c r="H49" s="1754">
        <f t="shared" si="2"/>
        <v>0</v>
      </c>
      <c r="I49" s="1754">
        <f t="shared" si="2"/>
        <v>0</v>
      </c>
      <c r="J49" s="1754">
        <f t="shared" si="2"/>
        <v>0</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06" t="s">
        <v>584</v>
      </c>
      <c r="C52" s="2207"/>
      <c r="D52" s="2207"/>
      <c r="E52" s="749" t="s">
        <v>845</v>
      </c>
      <c r="F52" s="2208"/>
      <c r="G52" s="2209"/>
      <c r="H52" s="736"/>
      <c r="I52" s="736"/>
      <c r="J52" s="746"/>
    </row>
    <row r="53" spans="1:11" ht="11.25" customHeight="1" x14ac:dyDescent="0.2">
      <c r="A53" s="750" t="s">
        <v>913</v>
      </c>
      <c r="B53" s="751" t="s">
        <v>951</v>
      </c>
      <c r="C53" s="746"/>
      <c r="D53" s="737"/>
      <c r="E53" s="749" t="s">
        <v>497</v>
      </c>
      <c r="F53" s="2210"/>
      <c r="G53" s="2211"/>
      <c r="H53" s="736"/>
      <c r="I53" s="736"/>
      <c r="J53" s="746"/>
    </row>
    <row r="54" spans="1:11" ht="11.25" customHeight="1" x14ac:dyDescent="0.2">
      <c r="A54" s="752" t="s">
        <v>914</v>
      </c>
      <c r="B54" s="747" t="s">
        <v>952</v>
      </c>
      <c r="C54" s="746"/>
      <c r="D54" s="737"/>
      <c r="E54" s="749" t="s">
        <v>498</v>
      </c>
      <c r="F54" s="2210"/>
      <c r="G54" s="221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K48"/>
  <sheetViews>
    <sheetView showGridLines="0" defaultGridColor="0"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0" t="s">
        <v>856</v>
      </c>
      <c r="B1" s="2241"/>
      <c r="C1" s="2241"/>
      <c r="D1" s="2241"/>
      <c r="E1" s="2241"/>
      <c r="F1" s="2241"/>
      <c r="G1" s="2242"/>
      <c r="H1" s="1528"/>
      <c r="I1" s="760"/>
      <c r="J1" s="433"/>
    </row>
    <row r="2" spans="1:11" ht="26.25" x14ac:dyDescent="0.2">
      <c r="A2" s="2219" t="s">
        <v>1677</v>
      </c>
      <c r="B2" s="2220"/>
      <c r="C2" s="2220"/>
      <c r="D2" s="2220"/>
      <c r="E2" s="2221"/>
      <c r="F2" s="761" t="s">
        <v>904</v>
      </c>
      <c r="G2" s="762" t="s">
        <v>1674</v>
      </c>
      <c r="H2" s="762" t="s">
        <v>410</v>
      </c>
      <c r="I2" s="762" t="s">
        <v>1158</v>
      </c>
      <c r="J2" s="762" t="s">
        <v>1809</v>
      </c>
      <c r="K2" s="762" t="s">
        <v>138</v>
      </c>
    </row>
    <row r="3" spans="1:11" x14ac:dyDescent="0.2">
      <c r="A3" s="2222" t="s">
        <v>1959</v>
      </c>
      <c r="B3" s="2223"/>
      <c r="C3" s="2223"/>
      <c r="D3" s="2223"/>
      <c r="E3" s="2224"/>
      <c r="F3" s="763"/>
      <c r="G3" s="764"/>
      <c r="H3" s="764"/>
      <c r="I3" s="764"/>
      <c r="J3" s="765"/>
      <c r="K3" s="765"/>
    </row>
    <row r="4" spans="1:11" x14ac:dyDescent="0.2">
      <c r="A4" s="2225" t="s">
        <v>369</v>
      </c>
      <c r="B4" s="2226"/>
      <c r="C4" s="2226"/>
      <c r="D4" s="2226"/>
      <c r="E4" s="2207"/>
      <c r="F4" s="766"/>
      <c r="G4" s="767"/>
      <c r="H4" s="768"/>
      <c r="I4" s="767"/>
      <c r="J4" s="769"/>
      <c r="K4" s="769"/>
    </row>
    <row r="5" spans="1:11" x14ac:dyDescent="0.2">
      <c r="A5" s="2243" t="s">
        <v>1069</v>
      </c>
      <c r="B5" s="2216"/>
      <c r="C5" s="2216"/>
      <c r="D5" s="2216"/>
      <c r="E5" s="2244"/>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3" t="s">
        <v>1810</v>
      </c>
      <c r="B10" s="2216"/>
      <c r="C10" s="2216"/>
      <c r="D10" s="2216"/>
      <c r="E10" s="2245"/>
      <c r="F10" s="783" t="s">
        <v>862</v>
      </c>
      <c r="G10" s="782"/>
      <c r="H10" s="784"/>
      <c r="I10" s="764"/>
      <c r="J10" s="765"/>
      <c r="K10" s="765"/>
    </row>
    <row r="11" spans="1:11" x14ac:dyDescent="0.2">
      <c r="A11" s="2243" t="s">
        <v>160</v>
      </c>
      <c r="B11" s="2216"/>
      <c r="C11" s="2216"/>
      <c r="D11" s="2216"/>
      <c r="E11" s="2244"/>
      <c r="F11" s="770" t="s">
        <v>852</v>
      </c>
      <c r="G11" s="771"/>
      <c r="H11" s="764"/>
      <c r="I11" s="764"/>
      <c r="J11" s="765"/>
      <c r="K11" s="773"/>
    </row>
    <row r="12" spans="1:11" ht="13.5" thickBot="1" x14ac:dyDescent="0.25">
      <c r="A12" s="2233" t="s">
        <v>905</v>
      </c>
      <c r="B12" s="2234"/>
      <c r="C12" s="2234"/>
      <c r="D12" s="2234"/>
      <c r="E12" s="2235"/>
      <c r="F12" s="1755"/>
      <c r="G12" s="1756">
        <f>SUM(G5:G11)</f>
        <v>0</v>
      </c>
      <c r="H12" s="1756">
        <f>SUM(H5:H11)</f>
        <v>0</v>
      </c>
      <c r="I12" s="1756">
        <f>SUM(I5:I11)</f>
        <v>0</v>
      </c>
      <c r="J12" s="1756">
        <f>SUM(J5:J11)</f>
        <v>0</v>
      </c>
      <c r="K12" s="1756">
        <f>SUM(K5:K11)</f>
        <v>0</v>
      </c>
    </row>
    <row r="13" spans="1:11" ht="13.5" thickTop="1" x14ac:dyDescent="0.2">
      <c r="A13" s="2227" t="s">
        <v>370</v>
      </c>
      <c r="B13" s="2228"/>
      <c r="C13" s="2228"/>
      <c r="D13" s="2228"/>
      <c r="E13" s="2229"/>
      <c r="F13" s="785"/>
      <c r="G13" s="786"/>
      <c r="H13" s="787"/>
      <c r="I13" s="788"/>
      <c r="J13" s="788"/>
      <c r="K13" s="788"/>
    </row>
    <row r="14" spans="1:11" x14ac:dyDescent="0.2">
      <c r="A14" s="2249" t="s">
        <v>456</v>
      </c>
      <c r="B14" s="2249"/>
      <c r="C14" s="2249"/>
      <c r="D14" s="2249"/>
      <c r="E14" s="2250"/>
      <c r="F14" s="789" t="s">
        <v>854</v>
      </c>
      <c r="G14" s="782"/>
      <c r="H14" s="764"/>
      <c r="I14" s="771"/>
      <c r="J14" s="773"/>
      <c r="K14" s="765"/>
    </row>
    <row r="15" spans="1:11" x14ac:dyDescent="0.2">
      <c r="A15" s="2216" t="s">
        <v>4</v>
      </c>
      <c r="B15" s="2216"/>
      <c r="C15" s="2216"/>
      <c r="D15" s="2216"/>
      <c r="E15" s="2244"/>
      <c r="F15" s="789" t="s">
        <v>855</v>
      </c>
      <c r="G15" s="771"/>
      <c r="H15" s="764"/>
      <c r="I15" s="764"/>
      <c r="J15" s="765"/>
      <c r="K15" s="765"/>
    </row>
    <row r="16" spans="1:11" x14ac:dyDescent="0.2">
      <c r="A16" s="2216" t="s">
        <v>298</v>
      </c>
      <c r="B16" s="2216"/>
      <c r="C16" s="2216"/>
      <c r="D16" s="2216"/>
      <c r="E16" s="2244"/>
      <c r="F16" s="789" t="s">
        <v>923</v>
      </c>
      <c r="G16" s="772"/>
      <c r="H16" s="767"/>
      <c r="I16" s="767"/>
      <c r="J16" s="769"/>
      <c r="K16" s="769"/>
    </row>
    <row r="17" spans="1:11" x14ac:dyDescent="0.2">
      <c r="A17" s="2238" t="s">
        <v>935</v>
      </c>
      <c r="B17" s="2238"/>
      <c r="C17" s="2238"/>
      <c r="D17" s="2238"/>
      <c r="E17" s="2239"/>
      <c r="F17" s="790"/>
      <c r="G17" s="791"/>
      <c r="H17" s="792"/>
      <c r="I17" s="792"/>
      <c r="J17" s="793"/>
      <c r="K17" s="794"/>
    </row>
    <row r="18" spans="1:11" x14ac:dyDescent="0.2">
      <c r="A18" s="2230" t="s">
        <v>368</v>
      </c>
      <c r="B18" s="2231"/>
      <c r="C18" s="2231"/>
      <c r="D18" s="2231"/>
      <c r="E18" s="2232"/>
      <c r="F18" s="789" t="s">
        <v>932</v>
      </c>
      <c r="G18" s="782"/>
      <c r="H18" s="782"/>
      <c r="I18" s="782"/>
      <c r="J18" s="765"/>
      <c r="K18" s="795"/>
    </row>
    <row r="19" spans="1:11" ht="21.75" customHeight="1" x14ac:dyDescent="0.2">
      <c r="A19" s="2251" t="s">
        <v>1806</v>
      </c>
      <c r="B19" s="2251"/>
      <c r="C19" s="2251"/>
      <c r="D19" s="2251"/>
      <c r="E19" s="2252"/>
      <c r="F19" s="789" t="s">
        <v>933</v>
      </c>
      <c r="G19" s="782"/>
      <c r="H19" s="782"/>
      <c r="I19" s="782"/>
      <c r="J19" s="765"/>
      <c r="K19" s="795"/>
    </row>
    <row r="20" spans="1:11" x14ac:dyDescent="0.2">
      <c r="A20" s="2230" t="s">
        <v>1811</v>
      </c>
      <c r="B20" s="2231"/>
      <c r="C20" s="2231"/>
      <c r="D20" s="2231"/>
      <c r="E20" s="2232"/>
      <c r="F20" s="789" t="s">
        <v>934</v>
      </c>
      <c r="G20" s="782"/>
      <c r="H20" s="782"/>
      <c r="I20" s="782"/>
      <c r="J20" s="765"/>
      <c r="K20" s="795"/>
    </row>
    <row r="21" spans="1:11" ht="13.5" thickBot="1" x14ac:dyDescent="0.25">
      <c r="A21" s="2236" t="s">
        <v>638</v>
      </c>
      <c r="B21" s="2236"/>
      <c r="C21" s="2236"/>
      <c r="D21" s="2236"/>
      <c r="E21" s="2236"/>
      <c r="F21" s="1757"/>
      <c r="G21" s="792"/>
      <c r="H21" s="796"/>
      <c r="I21" s="796"/>
      <c r="J21" s="1758">
        <f>SUM(J18:J20)</f>
        <v>0</v>
      </c>
      <c r="K21" s="793"/>
    </row>
    <row r="22" spans="1:11" ht="13.5" thickTop="1" x14ac:dyDescent="0.2">
      <c r="A22" s="2216" t="s">
        <v>1812</v>
      </c>
      <c r="B22" s="2216"/>
      <c r="C22" s="2216"/>
      <c r="D22" s="2216"/>
      <c r="E22" s="2244"/>
      <c r="F22" s="789" t="s">
        <v>862</v>
      </c>
      <c r="G22" s="782"/>
      <c r="H22" s="764"/>
      <c r="I22" s="764"/>
      <c r="J22" s="797"/>
      <c r="K22" s="765"/>
    </row>
    <row r="23" spans="1:11" ht="13.5" thickBot="1" x14ac:dyDescent="0.25">
      <c r="A23" s="2237" t="s">
        <v>906</v>
      </c>
      <c r="B23" s="2236"/>
      <c r="C23" s="2236"/>
      <c r="D23" s="2236"/>
      <c r="E23" s="2236"/>
      <c r="F23" s="1759"/>
      <c r="G23" s="1756">
        <f>SUM(G14:G16,G21,G22)</f>
        <v>0</v>
      </c>
      <c r="H23" s="1756">
        <f>SUM(H14:H16,H21,H22)</f>
        <v>0</v>
      </c>
      <c r="I23" s="1756">
        <f>SUM(I14:I16,I21,I22)</f>
        <v>0</v>
      </c>
      <c r="J23" s="1756">
        <f>SUM(J14:J16,J21,J22)</f>
        <v>0</v>
      </c>
      <c r="K23" s="1756">
        <f>SUM(K14:K16,K21,K22)</f>
        <v>0</v>
      </c>
    </row>
    <row r="24" spans="1:11" ht="14.25" thickTop="1" thickBot="1" x14ac:dyDescent="0.25">
      <c r="A24" s="2237" t="s">
        <v>1960</v>
      </c>
      <c r="B24" s="2236"/>
      <c r="C24" s="2236"/>
      <c r="D24" s="2236"/>
      <c r="E24" s="2236"/>
      <c r="F24" s="1760"/>
      <c r="G24" s="1761">
        <f>SUM(G3,G12)-G23</f>
        <v>0</v>
      </c>
      <c r="H24" s="1761">
        <f>SUM(H3,H12)-H23</f>
        <v>0</v>
      </c>
      <c r="I24" s="1761">
        <f>SUM(I3,I12)-I23</f>
        <v>0</v>
      </c>
      <c r="J24" s="1761">
        <f>SUM(J3,J12)-J23</f>
        <v>0</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8" t="s">
        <v>1906</v>
      </c>
      <c r="B28" s="1879"/>
      <c r="C28" s="1879"/>
      <c r="D28" s="1879"/>
      <c r="E28" s="1880"/>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6"/>
      <c r="I31" s="2247"/>
      <c r="J31" s="2247"/>
      <c r="K31" s="2247"/>
    </row>
    <row r="32" spans="1:11" x14ac:dyDescent="0.2">
      <c r="A32" s="809"/>
      <c r="B32" s="237"/>
      <c r="C32" s="237"/>
      <c r="D32" s="237"/>
      <c r="E32" s="805"/>
      <c r="F32" s="811" t="s">
        <v>540</v>
      </c>
      <c r="G32" s="764"/>
      <c r="H32" s="2248"/>
      <c r="I32" s="2247"/>
      <c r="J32" s="2247"/>
      <c r="K32" s="2247"/>
    </row>
    <row r="33" spans="1:11" ht="1.5" customHeight="1" x14ac:dyDescent="0.2">
      <c r="A33" s="812" t="s">
        <v>1169</v>
      </c>
      <c r="B33" s="364"/>
      <c r="C33" s="364"/>
      <c r="D33" s="364"/>
      <c r="E33" s="364"/>
      <c r="F33" s="364"/>
      <c r="G33" s="813"/>
      <c r="H33" s="2248"/>
      <c r="I33" s="2247"/>
      <c r="J33" s="2247"/>
      <c r="K33" s="2247"/>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17"/>
      <c r="C41" s="2217"/>
      <c r="D41" s="2217"/>
      <c r="E41" s="2217"/>
      <c r="F41" s="2218"/>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9" t="s">
        <v>1807</v>
      </c>
      <c r="B46" s="408" t="s">
        <v>1675</v>
      </c>
    </row>
    <row r="47" spans="1:11" s="823" customFormat="1" ht="12.75" customHeight="1" x14ac:dyDescent="0.2">
      <c r="A47" s="821"/>
      <c r="B47" s="822" t="s">
        <v>1676</v>
      </c>
      <c r="E47" s="822"/>
      <c r="K47" s="824"/>
    </row>
    <row r="48" spans="1:11" ht="12.75" customHeight="1" x14ac:dyDescent="0.2">
      <c r="A48" s="1530"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topLeftCell="A4" colorId="8" zoomScaleNormal="100" workbookViewId="0">
      <selection activeCell="L12" sqref="L1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5" t="s">
        <v>1905</v>
      </c>
      <c r="B1" s="2256"/>
      <c r="C1" s="2257"/>
      <c r="D1" s="826"/>
      <c r="E1" s="827"/>
      <c r="F1" s="827"/>
      <c r="G1" s="828"/>
      <c r="H1" s="829"/>
      <c r="I1" s="830"/>
      <c r="J1" s="2253"/>
      <c r="K1" s="2254"/>
      <c r="L1" s="2254"/>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7" t="s">
        <v>892</v>
      </c>
      <c r="B3" s="1628">
        <v>210</v>
      </c>
      <c r="C3" s="835"/>
      <c r="D3" s="835"/>
      <c r="E3" s="835"/>
      <c r="F3" s="1758">
        <f>(C3+D3)-E3</f>
        <v>0</v>
      </c>
      <c r="G3" s="836"/>
      <c r="H3" s="835"/>
      <c r="I3" s="835"/>
      <c r="J3" s="835"/>
      <c r="K3" s="1767">
        <f>(H3+I3)-J3</f>
        <v>0</v>
      </c>
      <c r="L3" s="1767">
        <f>F3-K3</f>
        <v>0</v>
      </c>
      <c r="M3" s="834"/>
      <c r="N3" s="834"/>
    </row>
    <row r="4" spans="1:14" ht="15" customHeight="1" thickTop="1" x14ac:dyDescent="0.2">
      <c r="A4" s="1629" t="s">
        <v>158</v>
      </c>
      <c r="B4" s="1628">
        <v>220</v>
      </c>
      <c r="C4" s="781"/>
      <c r="D4" s="781"/>
      <c r="E4" s="781"/>
      <c r="F4" s="773"/>
      <c r="G4" s="837"/>
      <c r="H4" s="838"/>
      <c r="I4" s="838"/>
      <c r="J4" s="838"/>
      <c r="K4" s="839"/>
      <c r="L4" s="773"/>
    </row>
    <row r="5" spans="1:14" ht="13.5" thickBot="1" x14ac:dyDescent="0.25">
      <c r="A5" s="778" t="s">
        <v>893</v>
      </c>
      <c r="B5" s="840">
        <v>221</v>
      </c>
      <c r="C5" s="841">
        <v>74871</v>
      </c>
      <c r="D5" s="841"/>
      <c r="E5" s="841"/>
      <c r="F5" s="1758">
        <f>(C5+D5)-E5</f>
        <v>74871</v>
      </c>
      <c r="G5" s="837"/>
      <c r="H5" s="842"/>
      <c r="I5" s="842"/>
      <c r="J5" s="842"/>
      <c r="K5" s="793"/>
      <c r="L5" s="1767">
        <f>F5-K5</f>
        <v>74871</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29" t="s">
        <v>159</v>
      </c>
      <c r="B7" s="1628">
        <v>230</v>
      </c>
      <c r="C7" s="781"/>
      <c r="D7" s="781"/>
      <c r="E7" s="781"/>
      <c r="F7" s="773"/>
      <c r="G7" s="843"/>
      <c r="H7" s="781"/>
      <c r="I7" s="781"/>
      <c r="J7" s="781"/>
      <c r="K7" s="773"/>
      <c r="L7" s="773"/>
    </row>
    <row r="8" spans="1:14" ht="13.5" thickBot="1" x14ac:dyDescent="0.25">
      <c r="A8" s="778" t="s">
        <v>1118</v>
      </c>
      <c r="B8" s="840">
        <v>231</v>
      </c>
      <c r="C8" s="844">
        <v>2345285</v>
      </c>
      <c r="D8" s="844">
        <v>68022</v>
      </c>
      <c r="E8" s="844"/>
      <c r="F8" s="1758">
        <f>(C8+D8)-E8</f>
        <v>2413307</v>
      </c>
      <c r="G8" s="843">
        <v>50</v>
      </c>
      <c r="H8" s="765">
        <v>902380</v>
      </c>
      <c r="I8" s="765">
        <v>59000</v>
      </c>
      <c r="J8" s="765"/>
      <c r="K8" s="1767">
        <f>(H8+I8)-J8</f>
        <v>961380</v>
      </c>
      <c r="L8" s="1767">
        <f>F8-K8</f>
        <v>1451927</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c r="D10" s="846"/>
      <c r="E10" s="846"/>
      <c r="F10" s="1762">
        <f>(C10+D10)-E10</f>
        <v>0</v>
      </c>
      <c r="G10" s="843">
        <v>20</v>
      </c>
      <c r="H10" s="847"/>
      <c r="I10" s="847"/>
      <c r="J10" s="847"/>
      <c r="K10" s="1767">
        <f>(H10+I10)-J10</f>
        <v>0</v>
      </c>
      <c r="L10" s="1767">
        <f>F10-K10</f>
        <v>0</v>
      </c>
    </row>
    <row r="11" spans="1:14" ht="13.5" thickTop="1" x14ac:dyDescent="0.2">
      <c r="A11" s="1630" t="s">
        <v>1136</v>
      </c>
      <c r="B11" s="1628">
        <v>250</v>
      </c>
      <c r="C11" s="781"/>
      <c r="D11" s="781"/>
      <c r="E11" s="781"/>
      <c r="F11" s="773"/>
      <c r="G11" s="843"/>
      <c r="H11" s="781"/>
      <c r="I11" s="781"/>
      <c r="J11" s="781"/>
      <c r="K11" s="773"/>
      <c r="L11" s="773"/>
    </row>
    <row r="12" spans="1:14" ht="13.5" thickBot="1" x14ac:dyDescent="0.25">
      <c r="A12" s="848" t="s">
        <v>1121</v>
      </c>
      <c r="B12" s="840">
        <v>251</v>
      </c>
      <c r="C12" s="844">
        <v>1398494</v>
      </c>
      <c r="D12" s="844">
        <v>104294</v>
      </c>
      <c r="E12" s="844"/>
      <c r="F12" s="1758">
        <f>(C12+D12)-E12</f>
        <v>1502788</v>
      </c>
      <c r="G12" s="843">
        <v>10</v>
      </c>
      <c r="H12" s="765">
        <v>1375818</v>
      </c>
      <c r="I12" s="765">
        <v>34474</v>
      </c>
      <c r="J12" s="765"/>
      <c r="K12" s="1767">
        <f>(H12+I12)-J12</f>
        <v>1410292</v>
      </c>
      <c r="L12" s="1767">
        <f>F12-K12</f>
        <v>92496</v>
      </c>
    </row>
    <row r="13" spans="1:14" ht="14.25" thickTop="1" thickBot="1" x14ac:dyDescent="0.25">
      <c r="A13" s="848" t="s">
        <v>1122</v>
      </c>
      <c r="B13" s="840">
        <v>252</v>
      </c>
      <c r="C13" s="844"/>
      <c r="D13" s="844"/>
      <c r="E13" s="844"/>
      <c r="F13" s="1758">
        <f>(C13+D13)-E13</f>
        <v>0</v>
      </c>
      <c r="G13" s="843">
        <v>5</v>
      </c>
      <c r="H13" s="765"/>
      <c r="I13" s="765"/>
      <c r="J13" s="765"/>
      <c r="K13" s="1767">
        <f>(H13+I13)-J13</f>
        <v>0</v>
      </c>
      <c r="L13" s="1767">
        <f>F13-K13</f>
        <v>0</v>
      </c>
    </row>
    <row r="14" spans="1:14" ht="14.25" thickTop="1" thickBot="1" x14ac:dyDescent="0.25">
      <c r="A14" s="848" t="s">
        <v>1123</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29" t="s">
        <v>528</v>
      </c>
      <c r="B15" s="1628">
        <v>260</v>
      </c>
      <c r="C15" s="844"/>
      <c r="D15" s="844"/>
      <c r="E15" s="844"/>
      <c r="F15" s="1758">
        <f>(C15+D15)-E15</f>
        <v>0</v>
      </c>
      <c r="G15" s="849" t="s">
        <v>862</v>
      </c>
      <c r="H15" s="781"/>
      <c r="I15" s="781"/>
      <c r="J15" s="781"/>
      <c r="K15" s="781"/>
      <c r="L15" s="1767">
        <f>F15-K15</f>
        <v>0</v>
      </c>
    </row>
    <row r="16" spans="1:14" ht="15" customHeight="1" thickTop="1" thickBot="1" x14ac:dyDescent="0.25">
      <c r="A16" s="1763" t="s">
        <v>643</v>
      </c>
      <c r="B16" s="1764">
        <v>200</v>
      </c>
      <c r="C16" s="1758">
        <f>SUM(C3,C5:C6,C8:C10,C12:C15)</f>
        <v>3818650</v>
      </c>
      <c r="D16" s="1758">
        <f>SUM(D3,D5:D6,D8:D10,D12:D15)</f>
        <v>172316</v>
      </c>
      <c r="E16" s="1758">
        <f>SUM(E3,E5:E6,E8:E10,E12:E15)</f>
        <v>0</v>
      </c>
      <c r="F16" s="1758">
        <f>SUM(F3,F5:F6,F8:F10,F12:F15)</f>
        <v>3990966</v>
      </c>
      <c r="G16" s="843"/>
      <c r="H16" s="1758">
        <f>SUM(H3,H6,H8:H10,H12:H14,)</f>
        <v>2278198</v>
      </c>
      <c r="I16" s="1758">
        <f>SUM(I3,I6,I8:I10,I12:I14,)</f>
        <v>93474</v>
      </c>
      <c r="J16" s="1758">
        <f>SUM(J3,J6,J8:J10,J12:J14,)</f>
        <v>0</v>
      </c>
      <c r="K16" s="1758">
        <f>(H16+I16)-J16</f>
        <v>2371672</v>
      </c>
      <c r="L16" s="1758">
        <f>F16-K16</f>
        <v>1619294</v>
      </c>
    </row>
    <row r="17" spans="1:12" ht="15" customHeight="1" thickTop="1" thickBot="1" x14ac:dyDescent="0.25">
      <c r="A17" s="1631" t="s">
        <v>291</v>
      </c>
      <c r="B17" s="1628">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685</v>
      </c>
      <c r="B18" s="1766"/>
      <c r="C18" s="771"/>
      <c r="D18" s="771"/>
      <c r="E18" s="771"/>
      <c r="F18" s="850"/>
      <c r="G18" s="851"/>
      <c r="H18" s="773"/>
      <c r="I18" s="1758">
        <f>SUM(I16,I17)</f>
        <v>93474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2"/>
  <sheetViews>
    <sheetView showGridLines="0" defaultGridColor="0" colorId="8" zoomScale="110" zoomScaleNormal="110" workbookViewId="0">
      <pane ySplit="5" topLeftCell="A69" activePane="bottomLeft" state="frozen"/>
      <selection activeCell="A47" sqref="A47"/>
      <selection pane="bottomLeft" activeCell="I6" sqref="I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1" t="s">
        <v>1970</v>
      </c>
      <c r="B1" s="2262"/>
      <c r="C1" s="2262"/>
      <c r="D1" s="2262"/>
      <c r="E1" s="2262"/>
      <c r="F1" s="2263"/>
      <c r="G1" s="855"/>
    </row>
    <row r="2" spans="1:7" ht="15" customHeight="1" thickBot="1" x14ac:dyDescent="0.25">
      <c r="A2" s="2264" t="s">
        <v>477</v>
      </c>
      <c r="B2" s="2265"/>
      <c r="C2" s="2265"/>
      <c r="D2" s="2265"/>
      <c r="E2" s="2265"/>
      <c r="F2" s="226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7"/>
      <c r="B5" s="2268"/>
      <c r="C5" s="2268"/>
      <c r="D5" s="2268"/>
      <c r="E5" s="2268"/>
      <c r="F5" s="2268"/>
    </row>
    <row r="6" spans="1:7" ht="13.5" customHeight="1" thickBot="1" x14ac:dyDescent="0.25">
      <c r="A6" s="2258" t="s">
        <v>1104</v>
      </c>
      <c r="B6" s="2259"/>
      <c r="C6" s="2259"/>
      <c r="D6" s="2259"/>
      <c r="E6" s="2259"/>
      <c r="F6" s="2260"/>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6">
        <f>'Expenditures 15-22'!K114</f>
        <v>11665833</v>
      </c>
      <c r="G8" s="865"/>
    </row>
    <row r="9" spans="1:7" x14ac:dyDescent="0.2">
      <c r="A9" s="869" t="s">
        <v>460</v>
      </c>
      <c r="B9" s="870" t="s">
        <v>1873</v>
      </c>
      <c r="C9" s="871"/>
      <c r="D9" s="869" t="s">
        <v>501</v>
      </c>
      <c r="E9" s="868"/>
      <c r="F9" s="1907">
        <f>'Expenditures 15-22'!K151</f>
        <v>127896</v>
      </c>
      <c r="G9" s="872"/>
    </row>
    <row r="10" spans="1:7" x14ac:dyDescent="0.2">
      <c r="A10" s="869" t="s">
        <v>499</v>
      </c>
      <c r="B10" s="870" t="s">
        <v>1874</v>
      </c>
      <c r="C10" s="871"/>
      <c r="D10" s="869" t="s">
        <v>501</v>
      </c>
      <c r="E10" s="868"/>
      <c r="F10" s="1907">
        <f>'Expenditures 15-22'!K174</f>
        <v>0</v>
      </c>
      <c r="G10" s="872"/>
    </row>
    <row r="11" spans="1:7" x14ac:dyDescent="0.2">
      <c r="A11" s="869" t="s">
        <v>461</v>
      </c>
      <c r="B11" s="870" t="s">
        <v>1875</v>
      </c>
      <c r="C11" s="871"/>
      <c r="D11" s="869" t="s">
        <v>501</v>
      </c>
      <c r="E11" s="868"/>
      <c r="F11" s="1907">
        <f>'Expenditures 15-22'!K210</f>
        <v>0</v>
      </c>
      <c r="G11" s="872"/>
    </row>
    <row r="12" spans="1:7" x14ac:dyDescent="0.2">
      <c r="A12" s="869" t="s">
        <v>462</v>
      </c>
      <c r="B12" s="870" t="s">
        <v>1876</v>
      </c>
      <c r="C12" s="871"/>
      <c r="D12" s="869" t="s">
        <v>501</v>
      </c>
      <c r="E12" s="868"/>
      <c r="F12" s="1907">
        <f>'Expenditures 15-22'!K295</f>
        <v>0</v>
      </c>
      <c r="G12" s="872"/>
    </row>
    <row r="13" spans="1:7" x14ac:dyDescent="0.2">
      <c r="A13" s="869" t="s">
        <v>106</v>
      </c>
      <c r="B13" s="870" t="s">
        <v>1877</v>
      </c>
      <c r="C13" s="871"/>
      <c r="D13" s="869" t="s">
        <v>501</v>
      </c>
      <c r="E13" s="868"/>
      <c r="F13" s="1907">
        <f>'Expenditures 15-22'!K342</f>
        <v>0</v>
      </c>
      <c r="G13" s="873"/>
    </row>
    <row r="14" spans="1:7" ht="12" customHeight="1" thickBot="1" x14ac:dyDescent="0.25">
      <c r="A14" s="1768"/>
      <c r="B14" s="1769"/>
      <c r="C14" s="1770"/>
      <c r="D14" s="1771" t="s">
        <v>501</v>
      </c>
      <c r="E14" s="1772" t="s">
        <v>958</v>
      </c>
      <c r="F14" s="1773">
        <f>SUM(F8:F13)</f>
        <v>11793729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8">
        <f>'Revenues 9-14'!F43</f>
        <v>0</v>
      </c>
      <c r="G18" s="865"/>
    </row>
    <row r="19" spans="1:7" x14ac:dyDescent="0.2">
      <c r="A19" s="869" t="s">
        <v>461</v>
      </c>
      <c r="B19" s="870" t="s">
        <v>1011</v>
      </c>
      <c r="C19" s="877">
        <f>'Revenues 9-14'!B47</f>
        <v>1421</v>
      </c>
      <c r="D19" s="878" t="str">
        <f>'Revenues 9-14'!A47</f>
        <v>Summer Sch - Transp. Fees from Pupils or Parents (In State)</v>
      </c>
      <c r="E19" s="879"/>
      <c r="F19" s="1909">
        <f>'Revenues 9-14'!F47</f>
        <v>0</v>
      </c>
      <c r="G19" s="865"/>
    </row>
    <row r="20" spans="1:7" x14ac:dyDescent="0.2">
      <c r="A20" s="869" t="s">
        <v>461</v>
      </c>
      <c r="B20" s="870" t="s">
        <v>1012</v>
      </c>
      <c r="C20" s="875">
        <f>'Revenues 9-14'!B48</f>
        <v>1422</v>
      </c>
      <c r="D20" s="876" t="str">
        <f>'Revenues 9-14'!A48</f>
        <v>Summer Sch - Transp. Fees from Other Districts (In State)</v>
      </c>
      <c r="E20" s="868"/>
      <c r="F20" s="1910">
        <f>'Revenues 9-14'!F48</f>
        <v>0</v>
      </c>
      <c r="G20" s="865"/>
    </row>
    <row r="21" spans="1:7" x14ac:dyDescent="0.2">
      <c r="A21" s="869" t="s">
        <v>461</v>
      </c>
      <c r="B21" s="870" t="s">
        <v>1013</v>
      </c>
      <c r="C21" s="877">
        <f>'Revenues 9-14'!B49</f>
        <v>1423</v>
      </c>
      <c r="D21" s="876" t="str">
        <f>'Revenues 9-14'!A49</f>
        <v>Summer Sch - Transp. Fees from Other Sources (In State)</v>
      </c>
      <c r="E21" s="868"/>
      <c r="F21" s="1911">
        <f>'Revenues 9-14'!F49</f>
        <v>0</v>
      </c>
      <c r="G21" s="865"/>
    </row>
    <row r="22" spans="1:7" x14ac:dyDescent="0.2">
      <c r="A22" s="869" t="s">
        <v>461</v>
      </c>
      <c r="B22" s="870" t="s">
        <v>1014</v>
      </c>
      <c r="C22" s="877">
        <f>'Revenues 9-14'!B50</f>
        <v>1424</v>
      </c>
      <c r="D22" s="876" t="str">
        <f>'Revenues 9-14'!A50</f>
        <v>Summer Sch - Transp. Fees from Other Sources (Out of State)</v>
      </c>
      <c r="E22" s="868"/>
      <c r="F22" s="1911">
        <f>'Revenues 9-14'!F50</f>
        <v>0</v>
      </c>
      <c r="G22" s="865"/>
    </row>
    <row r="23" spans="1:7" x14ac:dyDescent="0.2">
      <c r="A23" s="869" t="s">
        <v>461</v>
      </c>
      <c r="B23" s="870" t="s">
        <v>1015</v>
      </c>
      <c r="C23" s="875">
        <f>'Revenues 9-14'!B52</f>
        <v>1432</v>
      </c>
      <c r="D23" s="876" t="str">
        <f>'Revenues 9-14'!A52</f>
        <v>CTE - Transp Fees from Other Districts (In State)</v>
      </c>
      <c r="E23" s="868"/>
      <c r="F23" s="1911">
        <f>'Revenues 9-14'!F52</f>
        <v>0</v>
      </c>
      <c r="G23" s="865"/>
    </row>
    <row r="24" spans="1:7" x14ac:dyDescent="0.2">
      <c r="A24" s="869" t="s">
        <v>461</v>
      </c>
      <c r="B24" s="870" t="s">
        <v>1016</v>
      </c>
      <c r="C24" s="875">
        <f>'Revenues 9-14'!B56</f>
        <v>1442</v>
      </c>
      <c r="D24" s="876" t="str">
        <f>'Revenues 9-14'!A56</f>
        <v>Special Ed - Transp Fees from Other Districts (In State)</v>
      </c>
      <c r="E24" s="868"/>
      <c r="F24" s="1911">
        <f>'Revenues 9-14'!F56</f>
        <v>0</v>
      </c>
      <c r="G24" s="865"/>
    </row>
    <row r="25" spans="1:7" x14ac:dyDescent="0.2">
      <c r="A25" s="869" t="s">
        <v>461</v>
      </c>
      <c r="B25" s="870" t="s">
        <v>1017</v>
      </c>
      <c r="C25" s="875">
        <f>'Revenues 9-14'!B59</f>
        <v>1451</v>
      </c>
      <c r="D25" s="876" t="str">
        <f>'Revenues 9-14'!A59</f>
        <v>Adult - Transp Fees from Pupils or Parents (In State)</v>
      </c>
      <c r="E25" s="868"/>
      <c r="F25" s="1911">
        <f>'Revenues 9-14'!F59</f>
        <v>0</v>
      </c>
      <c r="G25" s="865"/>
    </row>
    <row r="26" spans="1:7" x14ac:dyDescent="0.2">
      <c r="A26" s="869" t="s">
        <v>461</v>
      </c>
      <c r="B26" s="870" t="s">
        <v>1018</v>
      </c>
      <c r="C26" s="875">
        <f>'Revenues 9-14'!B60</f>
        <v>1452</v>
      </c>
      <c r="D26" s="876" t="str">
        <f>'Revenues 9-14'!A60</f>
        <v>Adult - Transp Fees from Other Districts (In State)</v>
      </c>
      <c r="E26" s="868"/>
      <c r="F26" s="1911">
        <f>'Revenues 9-14'!F60</f>
        <v>0</v>
      </c>
      <c r="G26" s="865"/>
    </row>
    <row r="27" spans="1:7" x14ac:dyDescent="0.2">
      <c r="A27" s="869" t="s">
        <v>461</v>
      </c>
      <c r="B27" s="870" t="s">
        <v>1019</v>
      </c>
      <c r="C27" s="875">
        <f>'Revenues 9-14'!B61</f>
        <v>1453</v>
      </c>
      <c r="D27" s="876" t="str">
        <f>'Revenues 9-14'!A61</f>
        <v>Adult - Transp Fees from Other Sources (In State)</v>
      </c>
      <c r="E27" s="868"/>
      <c r="F27" s="1911">
        <f>'Revenues 9-14'!F61</f>
        <v>0</v>
      </c>
      <c r="G27" s="865"/>
    </row>
    <row r="28" spans="1:7" x14ac:dyDescent="0.2">
      <c r="A28" s="869" t="s">
        <v>461</v>
      </c>
      <c r="B28" s="870" t="s">
        <v>1020</v>
      </c>
      <c r="C28" s="875">
        <f>'Revenues 9-14'!B62</f>
        <v>1454</v>
      </c>
      <c r="D28" s="876" t="str">
        <f>'Revenues 9-14'!A62</f>
        <v>Adult - Transp Fees from Other Sources (Out of State)</v>
      </c>
      <c r="E28" s="868"/>
      <c r="F28" s="1911">
        <f>'Revenues 9-14'!F62</f>
        <v>0</v>
      </c>
      <c r="G28" s="865"/>
    </row>
    <row r="29" spans="1:7" x14ac:dyDescent="0.2">
      <c r="A29" s="869" t="s">
        <v>1097</v>
      </c>
      <c r="B29" s="870" t="s">
        <v>810</v>
      </c>
      <c r="C29" s="880">
        <f>'Revenues 9-14'!B149</f>
        <v>3410</v>
      </c>
      <c r="D29" s="881" t="str">
        <f>'Revenues 9-14'!A149</f>
        <v>Adult Ed (from ICCB)</v>
      </c>
      <c r="E29" s="868"/>
      <c r="F29" s="1911">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12">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11">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11">
        <f>SUM('Revenues 9-14'!D212,'Revenues 9-14'!F212)</f>
        <v>0</v>
      </c>
      <c r="G32" s="865"/>
    </row>
    <row r="33" spans="1:7" x14ac:dyDescent="0.2">
      <c r="A33" s="869" t="s">
        <v>460</v>
      </c>
      <c r="B33" s="870" t="s">
        <v>1997</v>
      </c>
      <c r="C33" s="875">
        <f>'Revenues 9-14'!B222</f>
        <v>4810</v>
      </c>
      <c r="D33" s="883" t="str">
        <f>'Revenues 9-14'!A222</f>
        <v>Federal - Adult Education</v>
      </c>
      <c r="E33" s="868"/>
      <c r="F33" s="1911">
        <f>'Revenues 9-14'!D222</f>
        <v>0</v>
      </c>
      <c r="G33" s="865"/>
    </row>
    <row r="34" spans="1:7" x14ac:dyDescent="0.2">
      <c r="A34" s="869" t="s">
        <v>459</v>
      </c>
      <c r="B34" s="869" t="s">
        <v>1469</v>
      </c>
      <c r="C34" s="886" t="str">
        <f>'Expenditures 15-22'!B7</f>
        <v>1125</v>
      </c>
      <c r="D34" s="887" t="str">
        <f>'Expenditures 15-22'!A7</f>
        <v>Pre-K Programs</v>
      </c>
      <c r="E34" s="868"/>
      <c r="F34" s="1911">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1">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1">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1">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1">
        <f>'Expenditures 15-22'!K20</f>
        <v>0</v>
      </c>
      <c r="G39" s="865"/>
    </row>
    <row r="40" spans="1:7" x14ac:dyDescent="0.2">
      <c r="A40" s="869" t="s">
        <v>459</v>
      </c>
      <c r="B40" s="869" t="s">
        <v>118</v>
      </c>
      <c r="C40" s="886" t="str">
        <f>'Expenditures 15-22'!B21</f>
        <v>1911</v>
      </c>
      <c r="D40" s="888" t="str">
        <f>'Expenditures 15-22'!A21</f>
        <v>Regular K-12 Programs - Private Tuition</v>
      </c>
      <c r="E40" s="868"/>
      <c r="F40" s="1911">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1">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459</v>
      </c>
      <c r="B46" s="869" t="s">
        <v>124</v>
      </c>
      <c r="C46" s="886" t="str">
        <f>'Expenditures 15-22'!B27</f>
        <v>1917</v>
      </c>
      <c r="D46" s="888" t="str">
        <f>'Expenditures 15-22'!A27</f>
        <v>CTE Programs - Private Tuition</v>
      </c>
      <c r="E46" s="868"/>
      <c r="F46" s="191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459</v>
      </c>
      <c r="B49" s="869" t="s">
        <v>127</v>
      </c>
      <c r="C49" s="886" t="str">
        <f>'Expenditures 15-22'!B30</f>
        <v>1920</v>
      </c>
      <c r="D49" s="888" t="str">
        <f>'Expenditures 15-22'!A30</f>
        <v>Gifted Programs - Private Tuition</v>
      </c>
      <c r="E49" s="868"/>
      <c r="F49" s="1911">
        <f>'Expenditures 15-22'!K30</f>
        <v>0</v>
      </c>
      <c r="G49" s="865"/>
    </row>
    <row r="50" spans="1:7" x14ac:dyDescent="0.2">
      <c r="A50" s="869" t="s">
        <v>459</v>
      </c>
      <c r="B50" s="869" t="s">
        <v>128</v>
      </c>
      <c r="C50" s="886" t="str">
        <f>'Expenditures 15-22'!B31</f>
        <v>1921</v>
      </c>
      <c r="D50" s="888" t="str">
        <f>'Expenditures 15-22'!A31</f>
        <v>Bilingual Programs - Private Tuition</v>
      </c>
      <c r="E50" s="868"/>
      <c r="F50" s="1911">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1">
        <f>'Expenditures 15-22'!K32</f>
        <v>0</v>
      </c>
      <c r="G51" s="865"/>
    </row>
    <row r="52" spans="1:7" x14ac:dyDescent="0.2">
      <c r="A52" s="869" t="s">
        <v>459</v>
      </c>
      <c r="B52" s="869" t="s">
        <v>1474</v>
      </c>
      <c r="C52" s="889" t="str">
        <f>'Expenditures 15-22'!B75</f>
        <v>3000</v>
      </c>
      <c r="D52" s="888" t="s">
        <v>449</v>
      </c>
      <c r="E52" s="868"/>
      <c r="F52" s="1911">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1">
        <f>'Expenditures 15-22'!K102</f>
        <v>2090750</v>
      </c>
      <c r="G53" s="865"/>
    </row>
    <row r="54" spans="1:7" x14ac:dyDescent="0.2">
      <c r="A54" s="869" t="s">
        <v>459</v>
      </c>
      <c r="B54" s="869" t="s">
        <v>1476</v>
      </c>
      <c r="C54" s="889" t="s">
        <v>982</v>
      </c>
      <c r="D54" s="885" t="s">
        <v>1095</v>
      </c>
      <c r="E54" s="868"/>
      <c r="F54" s="1911">
        <f>'Expenditures 15-22'!G114</f>
        <v>154133</v>
      </c>
      <c r="G54" s="865"/>
    </row>
    <row r="55" spans="1:7" x14ac:dyDescent="0.2">
      <c r="A55" s="869" t="s">
        <v>459</v>
      </c>
      <c r="B55" s="869" t="s">
        <v>1477</v>
      </c>
      <c r="C55" s="889" t="s">
        <v>982</v>
      </c>
      <c r="D55" s="885" t="s">
        <v>291</v>
      </c>
      <c r="E55" s="868"/>
      <c r="F55" s="1911">
        <f>'Expenditures 15-22'!I114</f>
        <v>0</v>
      </c>
      <c r="G55" s="865"/>
    </row>
    <row r="56" spans="1:7" x14ac:dyDescent="0.2">
      <c r="A56" s="869" t="s">
        <v>460</v>
      </c>
      <c r="B56" s="869" t="s">
        <v>1478</v>
      </c>
      <c r="C56" s="886" t="str">
        <f>'Expenditures 15-22'!B130</f>
        <v>3000</v>
      </c>
      <c r="D56" s="892" t="s">
        <v>449</v>
      </c>
      <c r="E56" s="868"/>
      <c r="F56" s="1911">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1">
        <f>'Expenditures 15-22'!K139</f>
        <v>0</v>
      </c>
      <c r="G57" s="865"/>
    </row>
    <row r="58" spans="1:7" x14ac:dyDescent="0.2">
      <c r="A58" s="869" t="s">
        <v>460</v>
      </c>
      <c r="B58" s="869" t="s">
        <v>1879</v>
      </c>
      <c r="C58" s="886" t="s">
        <v>982</v>
      </c>
      <c r="D58" s="885" t="s">
        <v>1095</v>
      </c>
      <c r="E58" s="868"/>
      <c r="F58" s="1913">
        <f>'Expenditures 15-22'!G151</f>
        <v>71231</v>
      </c>
      <c r="G58" s="865"/>
    </row>
    <row r="59" spans="1:7" x14ac:dyDescent="0.2">
      <c r="A59" s="893" t="s">
        <v>460</v>
      </c>
      <c r="B59" s="856" t="s">
        <v>1880</v>
      </c>
      <c r="C59" s="894" t="s">
        <v>982</v>
      </c>
      <c r="D59" s="856" t="s">
        <v>291</v>
      </c>
      <c r="F59" s="1914">
        <f>'Expenditures 15-22'!I151</f>
        <v>0</v>
      </c>
      <c r="G59" s="865"/>
    </row>
    <row r="60" spans="1:7" x14ac:dyDescent="0.2">
      <c r="A60" s="893" t="s">
        <v>499</v>
      </c>
      <c r="B60" s="856" t="s">
        <v>1881</v>
      </c>
      <c r="C60" s="894">
        <v>4000</v>
      </c>
      <c r="D60" s="856" t="s">
        <v>312</v>
      </c>
      <c r="F60" s="1912">
        <f>'Expenditures 15-22'!K160</f>
        <v>0</v>
      </c>
      <c r="G60" s="865"/>
    </row>
    <row r="61" spans="1:7" x14ac:dyDescent="0.2">
      <c r="A61" s="895" t="s">
        <v>499</v>
      </c>
      <c r="B61" s="895" t="s">
        <v>1882</v>
      </c>
      <c r="C61" s="896" t="str">
        <f>'Expenditures 15-22'!B170</f>
        <v>5300</v>
      </c>
      <c r="D61" s="897" t="s">
        <v>311</v>
      </c>
      <c r="E61" s="879"/>
      <c r="F61" s="1911">
        <f>'Expenditures 15-22'!K170</f>
        <v>0</v>
      </c>
      <c r="G61" s="865"/>
    </row>
    <row r="62" spans="1:7" x14ac:dyDescent="0.2">
      <c r="A62" s="869" t="s">
        <v>461</v>
      </c>
      <c r="B62" s="869" t="s">
        <v>1883</v>
      </c>
      <c r="C62" s="886">
        <f>'Expenditures 15-22'!B185</f>
        <v>3000</v>
      </c>
      <c r="D62" s="876" t="s">
        <v>449</v>
      </c>
      <c r="E62" s="868"/>
      <c r="F62" s="1911">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1">
        <f>'Expenditures 15-22'!K196</f>
        <v>0</v>
      </c>
      <c r="G63" s="865"/>
    </row>
    <row r="64" spans="1:7" x14ac:dyDescent="0.2">
      <c r="A64" s="895" t="s">
        <v>461</v>
      </c>
      <c r="B64" s="895" t="s">
        <v>1885</v>
      </c>
      <c r="C64" s="896" t="str">
        <f>'Expenditures 15-22'!B206</f>
        <v>5300</v>
      </c>
      <c r="D64" s="892" t="s">
        <v>311</v>
      </c>
      <c r="E64" s="868"/>
      <c r="F64" s="1911">
        <f>'Expenditures 15-22'!K206</f>
        <v>0</v>
      </c>
      <c r="G64" s="865"/>
    </row>
    <row r="65" spans="1:8" x14ac:dyDescent="0.2">
      <c r="A65" s="869" t="s">
        <v>461</v>
      </c>
      <c r="B65" s="869" t="s">
        <v>1886</v>
      </c>
      <c r="C65" s="886" t="s">
        <v>982</v>
      </c>
      <c r="D65" s="885" t="s">
        <v>1095</v>
      </c>
      <c r="E65" s="868"/>
      <c r="F65" s="1911">
        <f>'Expenditures 15-22'!G210</f>
        <v>0</v>
      </c>
      <c r="G65" s="865"/>
    </row>
    <row r="66" spans="1:8" x14ac:dyDescent="0.2">
      <c r="A66" s="869" t="s">
        <v>461</v>
      </c>
      <c r="B66" s="869" t="s">
        <v>1887</v>
      </c>
      <c r="C66" s="886" t="s">
        <v>982</v>
      </c>
      <c r="D66" s="885" t="s">
        <v>291</v>
      </c>
      <c r="E66" s="868"/>
      <c r="F66" s="1911">
        <f>'Expenditures 15-22'!I210</f>
        <v>0</v>
      </c>
      <c r="G66" s="865"/>
    </row>
    <row r="67" spans="1:8" x14ac:dyDescent="0.2">
      <c r="A67" s="869" t="s">
        <v>462</v>
      </c>
      <c r="B67" s="869" t="s">
        <v>1888</v>
      </c>
      <c r="C67" s="886" t="str">
        <f>'Expenditures 15-22'!B216</f>
        <v>1125</v>
      </c>
      <c r="D67" s="892" t="str">
        <f>'Expenditures 15-22'!A216</f>
        <v>Pre-K Programs</v>
      </c>
      <c r="E67" s="868"/>
      <c r="F67" s="1911">
        <f>'Expenditures 15-22'!K216</f>
        <v>0</v>
      </c>
      <c r="G67" s="865"/>
    </row>
    <row r="68" spans="1:8" x14ac:dyDescent="0.2">
      <c r="A68" s="869" t="s">
        <v>462</v>
      </c>
      <c r="B68" s="869" t="s">
        <v>1479</v>
      </c>
      <c r="C68" s="886" t="str">
        <f>'Expenditures 15-22'!B218</f>
        <v>1225</v>
      </c>
      <c r="D68" s="892" t="str">
        <f>'Expenditures 15-22'!A218</f>
        <v>Special Education Programs - Pre-K</v>
      </c>
      <c r="E68" s="868"/>
      <c r="F68" s="1911">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11">
        <f>'Expenditures 15-22'!K220</f>
        <v>0</v>
      </c>
      <c r="G69" s="865"/>
    </row>
    <row r="70" spans="1:8" x14ac:dyDescent="0.2">
      <c r="A70" s="869" t="s">
        <v>462</v>
      </c>
      <c r="B70" s="869" t="s">
        <v>1890</v>
      </c>
      <c r="C70" s="886">
        <f>'Expenditures 15-22'!B221</f>
        <v>1300</v>
      </c>
      <c r="D70" s="887" t="str">
        <f>'Expenditures 15-22'!A221</f>
        <v>Adult/Continuing Education Programs</v>
      </c>
      <c r="E70" s="868"/>
      <c r="F70" s="1911">
        <f>'Expenditures 15-22'!K221</f>
        <v>0</v>
      </c>
      <c r="G70" s="865"/>
    </row>
    <row r="71" spans="1:8" x14ac:dyDescent="0.2">
      <c r="A71" s="869" t="s">
        <v>462</v>
      </c>
      <c r="B71" s="869" t="s">
        <v>1891</v>
      </c>
      <c r="C71" s="886">
        <f>'Expenditures 15-22'!B224</f>
        <v>1600</v>
      </c>
      <c r="D71" s="887" t="str">
        <f>'Expenditures 15-22'!A224</f>
        <v>Summer School Programs</v>
      </c>
      <c r="E71" s="868"/>
      <c r="F71" s="1911">
        <f>'Expenditures 15-22'!K224</f>
        <v>0</v>
      </c>
      <c r="G71" s="865"/>
    </row>
    <row r="72" spans="1:8" x14ac:dyDescent="0.2">
      <c r="A72" s="869" t="s">
        <v>462</v>
      </c>
      <c r="B72" s="869" t="s">
        <v>1892</v>
      </c>
      <c r="C72" s="886">
        <f>'Expenditures 15-22'!B280</f>
        <v>3000</v>
      </c>
      <c r="D72" s="876" t="s">
        <v>449</v>
      </c>
      <c r="E72" s="868"/>
      <c r="F72" s="1911">
        <f>'Expenditures 15-22'!K280</f>
        <v>0</v>
      </c>
      <c r="G72" s="865"/>
    </row>
    <row r="73" spans="1:8" x14ac:dyDescent="0.2">
      <c r="A73" s="869" t="s">
        <v>462</v>
      </c>
      <c r="B73" s="869" t="s">
        <v>1893</v>
      </c>
      <c r="C73" s="886" t="str">
        <f>'Expenditures 15-22'!B285</f>
        <v>4000</v>
      </c>
      <c r="D73" s="887" t="str">
        <f>'Expenditures 15-22'!A285</f>
        <v>Total Payments to Other Govt Units</v>
      </c>
      <c r="E73" s="868"/>
      <c r="F73" s="1911">
        <f>'Expenditures 15-22'!K285</f>
        <v>0</v>
      </c>
      <c r="G73" s="865"/>
    </row>
    <row r="74" spans="1:8" x14ac:dyDescent="0.2">
      <c r="A74" s="869" t="s">
        <v>436</v>
      </c>
      <c r="B74" s="869" t="s">
        <v>1894</v>
      </c>
      <c r="C74" s="886" t="s">
        <v>860</v>
      </c>
      <c r="D74" s="887" t="s">
        <v>1487</v>
      </c>
      <c r="E74" s="868"/>
      <c r="F74" s="1915">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1895</v>
      </c>
      <c r="E76" s="1772" t="s">
        <v>958</v>
      </c>
      <c r="F76" s="1776">
        <f>SUM(F18:F74)</f>
        <v>2316114</v>
      </c>
      <c r="G76" s="865"/>
    </row>
    <row r="77" spans="1:8" s="893" customFormat="1" ht="12" customHeight="1" thickTop="1" thickBot="1" x14ac:dyDescent="0.25">
      <c r="A77" s="1777"/>
      <c r="B77" s="1774"/>
      <c r="C77" s="1770"/>
      <c r="D77" s="1775" t="s">
        <v>1896</v>
      </c>
      <c r="E77" s="1772"/>
      <c r="F77" s="1778">
        <f>(F14-F76)</f>
        <v>9477615</v>
      </c>
      <c r="G77" s="869"/>
    </row>
    <row r="78" spans="1:8" s="893" customFormat="1" ht="12" customHeight="1" thickTop="1" x14ac:dyDescent="0.2">
      <c r="A78" s="1779"/>
      <c r="B78" s="1774"/>
      <c r="C78" s="1770"/>
      <c r="D78" s="1775" t="s">
        <v>2057</v>
      </c>
      <c r="E78" s="1772"/>
      <c r="F78" s="898">
        <v>0</v>
      </c>
      <c r="G78" s="899"/>
      <c r="H78" s="869"/>
    </row>
    <row r="79" spans="1:8" s="893" customFormat="1" ht="12" customHeight="1" thickBot="1" x14ac:dyDescent="0.25">
      <c r="A79" s="1780"/>
      <c r="B79" s="1774"/>
      <c r="C79" s="1770"/>
      <c r="D79" s="1775" t="s">
        <v>1897</v>
      </c>
      <c r="E79" s="1772" t="s">
        <v>958</v>
      </c>
      <c r="F79" s="1781"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8" t="s">
        <v>1105</v>
      </c>
      <c r="B81" s="2259"/>
      <c r="C81" s="2259"/>
      <c r="D81" s="2259"/>
      <c r="E81" s="2259"/>
      <c r="F81" s="226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5">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0</v>
      </c>
      <c r="G94" s="912"/>
    </row>
    <row r="95" spans="1:7" x14ac:dyDescent="0.2">
      <c r="A95" s="908" t="s">
        <v>140</v>
      </c>
      <c r="B95" s="908" t="s">
        <v>175</v>
      </c>
      <c r="C95" s="910">
        <v>1700</v>
      </c>
      <c r="D95" s="918" t="str">
        <f>'Revenues 9-14'!A82</f>
        <v>Total District/School Activity Income</v>
      </c>
      <c r="E95" s="906"/>
      <c r="F95" s="1787">
        <f>SUM('Revenues 9-14'!C82,'Revenues 9-14'!D82)</f>
        <v>0</v>
      </c>
      <c r="G95" s="912"/>
    </row>
    <row r="96" spans="1:7" x14ac:dyDescent="0.2">
      <c r="A96" s="908" t="s">
        <v>459</v>
      </c>
      <c r="B96" s="908" t="s">
        <v>176</v>
      </c>
      <c r="C96" s="910">
        <f>'Revenues 9-14'!B84</f>
        <v>1811</v>
      </c>
      <c r="D96" s="911" t="str">
        <f>'Revenues 9-14'!A84</f>
        <v>Rentals - Regular Textbooks</v>
      </c>
      <c r="E96" s="906"/>
      <c r="F96" s="1787">
        <f>'Revenues 9-14'!C84</f>
        <v>0</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0</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824145</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1998</v>
      </c>
      <c r="C105" s="913">
        <v>3100</v>
      </c>
      <c r="D105" s="919" t="str">
        <f>'Revenues 9-14'!A132</f>
        <v>Total Special Education</v>
      </c>
      <c r="E105" s="906"/>
      <c r="F105" s="1787">
        <f>SUM('Revenues 9-14'!C132:D132,'Revenues 9-14'!F132)</f>
        <v>0</v>
      </c>
      <c r="G105" s="912"/>
    </row>
    <row r="106" spans="1:7" x14ac:dyDescent="0.2">
      <c r="A106" s="908" t="s">
        <v>673</v>
      </c>
      <c r="B106" s="908" t="s">
        <v>1999</v>
      </c>
      <c r="C106" s="920">
        <v>3200</v>
      </c>
      <c r="D106" s="911" t="str">
        <f>'Revenues 9-14'!A141</f>
        <v>Total Career and Technical Education</v>
      </c>
      <c r="E106" s="906"/>
      <c r="F106" s="1787">
        <f>SUM('Revenues 9-14'!C141,'Revenues 9-14'!D141,'Revenues 9-14'!G141)</f>
        <v>0</v>
      </c>
      <c r="G106" s="912"/>
    </row>
    <row r="107" spans="1:7" x14ac:dyDescent="0.2">
      <c r="A107" s="921" t="s">
        <v>664</v>
      </c>
      <c r="B107" s="908" t="s">
        <v>2000</v>
      </c>
      <c r="C107" s="920">
        <v>3300</v>
      </c>
      <c r="D107" s="911" t="str">
        <f>'Revenues 9-14'!A145</f>
        <v>Total Bilingual Ed</v>
      </c>
      <c r="E107" s="906"/>
      <c r="F107" s="1787">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7">
        <f>'Revenues 9-14'!C146</f>
        <v>0</v>
      </c>
      <c r="G108" s="912"/>
    </row>
    <row r="109" spans="1:7" x14ac:dyDescent="0.2">
      <c r="A109" s="908" t="s">
        <v>673</v>
      </c>
      <c r="B109" s="908" t="s">
        <v>2002</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7">
        <f>SUM('Revenues 9-14'!C148,'Revenues 9-14'!D148)</f>
        <v>0</v>
      </c>
      <c r="G110" s="912"/>
    </row>
    <row r="111" spans="1:7" x14ac:dyDescent="0.2">
      <c r="A111" s="908" t="s">
        <v>668</v>
      </c>
      <c r="B111" s="908" t="s">
        <v>2004</v>
      </c>
      <c r="C111" s="922">
        <v>3500</v>
      </c>
      <c r="D111" s="911" t="str">
        <f>'Revenues 9-14'!A155</f>
        <v>Total Transportation</v>
      </c>
      <c r="E111" s="906"/>
      <c r="F111" s="1787">
        <f>SUM('Revenues 9-14'!C155,'Revenues 9-14'!D155,'Revenues 9-14'!F155,'Revenues 9-14'!G155)</f>
        <v>17769</v>
      </c>
      <c r="G111" s="912"/>
    </row>
    <row r="112" spans="1:7" x14ac:dyDescent="0.2">
      <c r="A112" s="908" t="s">
        <v>459</v>
      </c>
      <c r="B112" s="908" t="s">
        <v>2005</v>
      </c>
      <c r="C112" s="920">
        <f>'Revenues 9-14'!B156</f>
        <v>3610</v>
      </c>
      <c r="D112" s="911" t="str">
        <f>'Revenues 9-14'!A156</f>
        <v>Learning Improvement - Change Grants</v>
      </c>
      <c r="E112" s="906"/>
      <c r="F112" s="1787">
        <f>'Revenues 9-14'!C156</f>
        <v>0</v>
      </c>
      <c r="G112" s="912"/>
    </row>
    <row r="113" spans="1:7" x14ac:dyDescent="0.2">
      <c r="A113" s="908" t="s">
        <v>668</v>
      </c>
      <c r="B113" s="908" t="s">
        <v>2006</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905">
        <f>SUM('Revenues 9-14'!C163:G163)</f>
        <v>0</v>
      </c>
      <c r="G118" s="912"/>
    </row>
    <row r="119" spans="1:7" x14ac:dyDescent="0.2">
      <c r="A119" s="923" t="s">
        <v>504</v>
      </c>
      <c r="B119" s="923" t="s">
        <v>2012</v>
      </c>
      <c r="C119" s="924">
        <f>'Revenues 9-14'!B164</f>
        <v>3815</v>
      </c>
      <c r="D119" s="925" t="str">
        <f>'Revenues 9-14'!A164</f>
        <v>State Charter Schools</v>
      </c>
      <c r="E119" s="906"/>
      <c r="F119" s="1905">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7">
        <f>'Revenues 9-14'!D167</f>
        <v>0</v>
      </c>
      <c r="G120" s="930"/>
    </row>
    <row r="121" spans="1:7" x14ac:dyDescent="0.2">
      <c r="A121" s="927" t="s">
        <v>500</v>
      </c>
      <c r="B121" s="927" t="s">
        <v>2014</v>
      </c>
      <c r="C121" s="928">
        <f>'Revenues 9-14'!B168</f>
        <v>3999</v>
      </c>
      <c r="D121" s="929" t="s">
        <v>543</v>
      </c>
      <c r="E121" s="931"/>
      <c r="F121" s="1787">
        <f>SUM('Revenues 9-14'!C168:G168,'Revenues 9-14'!J168)</f>
        <v>0</v>
      </c>
      <c r="G121" s="930"/>
    </row>
    <row r="122" spans="1:7" x14ac:dyDescent="0.2">
      <c r="A122" s="927" t="s">
        <v>459</v>
      </c>
      <c r="B122" s="927" t="s">
        <v>2015</v>
      </c>
      <c r="C122" s="932">
        <f>'Revenues 9-14'!B177</f>
        <v>4045</v>
      </c>
      <c r="D122" s="929" t="str">
        <f>'Revenues 9-14'!A177 &amp; " (Subtract)"</f>
        <v>Head Start (Subtract)</v>
      </c>
      <c r="E122" s="906"/>
      <c r="F122" s="1787">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668</v>
      </c>
      <c r="B124" s="927" t="s">
        <v>2017</v>
      </c>
      <c r="C124" s="932">
        <v>4100</v>
      </c>
      <c r="D124" s="933" t="str">
        <f>'Revenues 9-14'!A188</f>
        <v>Total Title V</v>
      </c>
      <c r="E124" s="906"/>
      <c r="F124" s="1787">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87">
        <f>SUM('Revenues 9-14'!C198,'Revenues 9-14'!G198)</f>
        <v>0</v>
      </c>
      <c r="G125" s="930"/>
    </row>
    <row r="126" spans="1:7" x14ac:dyDescent="0.2">
      <c r="A126" s="927" t="s">
        <v>668</v>
      </c>
      <c r="B126" s="927" t="s">
        <v>2019</v>
      </c>
      <c r="C126" s="932">
        <v>4300</v>
      </c>
      <c r="D126" s="933" t="str">
        <f>'Revenues 9-14'!A204</f>
        <v>Total Title I</v>
      </c>
      <c r="E126" s="906"/>
      <c r="F126" s="1787">
        <f>SUM('Revenues 9-14'!C204,'Revenues 9-14'!D204,'Revenues 9-14'!F204,'Revenues 9-14'!G204)</f>
        <v>0</v>
      </c>
      <c r="G126" s="930"/>
    </row>
    <row r="127" spans="1:7" x14ac:dyDescent="0.2">
      <c r="A127" s="927" t="s">
        <v>668</v>
      </c>
      <c r="B127" s="927" t="s">
        <v>2020</v>
      </c>
      <c r="C127" s="932">
        <v>4400</v>
      </c>
      <c r="D127" s="933" t="str">
        <f>'Revenues 9-14'!A209</f>
        <v>Total Title IV</v>
      </c>
      <c r="E127" s="906"/>
      <c r="F127" s="1787">
        <f>SUM('Revenues 9-14'!C209,'Revenues 9-14'!D209,'Revenues 9-14'!F209,'Revenues 9-14'!G209)</f>
        <v>0</v>
      </c>
      <c r="G127" s="930"/>
    </row>
    <row r="128" spans="1:7" x14ac:dyDescent="0.2">
      <c r="A128" s="927" t="s">
        <v>668</v>
      </c>
      <c r="B128" s="927" t="s">
        <v>2021</v>
      </c>
      <c r="C128" s="932">
        <f>'Revenues 9-14'!B213</f>
        <v>4620</v>
      </c>
      <c r="D128" s="933" t="str">
        <f>'Revenues 9-14'!A213</f>
        <v>Fed - Spec Education - IDEA - Flow Through</v>
      </c>
      <c r="E128" s="906"/>
      <c r="F128" s="1787">
        <f>SUM('Revenues 9-14'!C213:D213,'Revenues 9-14'!F213:G213)</f>
        <v>2529050</v>
      </c>
      <c r="G128" s="930"/>
    </row>
    <row r="129" spans="1:7" x14ac:dyDescent="0.2">
      <c r="A129" s="927" t="s">
        <v>668</v>
      </c>
      <c r="B129" s="927" t="s">
        <v>2022</v>
      </c>
      <c r="C129" s="932">
        <f>'Revenues 9-14'!B214</f>
        <v>4625</v>
      </c>
      <c r="D129" s="933" t="str">
        <f>'Revenues 9-14'!A214</f>
        <v>Fed - Spec Education - IDEA - Room &amp; Board</v>
      </c>
      <c r="E129" s="906"/>
      <c r="F129" s="1787">
        <f>SUM('Revenues 9-14'!C214,'Revenues 9-14'!D214,'Revenues 9-14'!F214,'Revenues 9-14'!G214)</f>
        <v>0</v>
      </c>
      <c r="G129" s="930"/>
    </row>
    <row r="130" spans="1:7" x14ac:dyDescent="0.2">
      <c r="A130" s="927" t="s">
        <v>668</v>
      </c>
      <c r="B130" s="927" t="s">
        <v>2023</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2024</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7">
        <v>0</v>
      </c>
      <c r="G138" s="905"/>
    </row>
    <row r="139" spans="1:7" s="867" customFormat="1" hidden="1" x14ac:dyDescent="0.2">
      <c r="A139" s="934" t="s">
        <v>206</v>
      </c>
      <c r="B139" s="934" t="s">
        <v>2031</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2039</v>
      </c>
      <c r="C157" s="940" t="s">
        <v>841</v>
      </c>
      <c r="D157" s="941" t="s">
        <v>777</v>
      </c>
      <c r="E157" s="942"/>
      <c r="F157" s="1787">
        <f>SUM(F133:F156)</f>
        <v>0</v>
      </c>
      <c r="G157" s="905"/>
    </row>
    <row r="158" spans="1:7" s="867" customFormat="1" x14ac:dyDescent="0.2">
      <c r="A158" s="938" t="s">
        <v>459</v>
      </c>
      <c r="B158" s="939" t="s">
        <v>2040</v>
      </c>
      <c r="C158" s="940" t="s">
        <v>1427</v>
      </c>
      <c r="D158" s="941" t="s">
        <v>1428</v>
      </c>
      <c r="E158" s="942"/>
      <c r="F158" s="1787">
        <f>SUM('Revenues 9-14'!C253)</f>
        <v>0</v>
      </c>
      <c r="G158" s="905"/>
    </row>
    <row r="159" spans="1:7" s="867" customFormat="1" x14ac:dyDescent="0.2">
      <c r="A159" s="938" t="s">
        <v>500</v>
      </c>
      <c r="B159" s="939" t="s">
        <v>2041</v>
      </c>
      <c r="C159" s="940" t="s">
        <v>1466</v>
      </c>
      <c r="D159" s="941" t="s">
        <v>1467</v>
      </c>
      <c r="E159" s="942"/>
      <c r="F159" s="1787">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2044</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905">
        <f>SUM('Revenues 9-14'!C259,'Revenues 9-14'!D259,'Revenues 9-14'!F259,'Revenues 9-14'!G259)</f>
        <v>0</v>
      </c>
      <c r="G164" s="930"/>
    </row>
    <row r="165" spans="1:7" x14ac:dyDescent="0.2">
      <c r="A165" s="927" t="s">
        <v>668</v>
      </c>
      <c r="B165" s="927" t="s">
        <v>2047</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7">
        <f>SUM('Revenues 9-14'!C263:D263,'Revenues 9-14'!F263:G263)</f>
        <v>56827</v>
      </c>
      <c r="G168" s="947">
        <v>6320</v>
      </c>
    </row>
    <row r="169" spans="1:7" x14ac:dyDescent="0.2">
      <c r="A169" s="927" t="s">
        <v>668</v>
      </c>
      <c r="B169" s="927" t="s">
        <v>2049</v>
      </c>
      <c r="C169" s="932">
        <f>'Revenues 9-14'!B264</f>
        <v>4992</v>
      </c>
      <c r="D169" s="933" t="str">
        <f>'Revenues 9-14'!A264</f>
        <v>Medicaid Matching Funds - Fee-for-Service Program</v>
      </c>
      <c r="E169" s="906"/>
      <c r="F169" s="1787">
        <f>SUM('Revenues 9-14'!C264:D264,'Revenues 9-14'!F264:G264)</f>
        <v>349546</v>
      </c>
      <c r="G169" s="947"/>
    </row>
    <row r="170" spans="1:7" x14ac:dyDescent="0.2">
      <c r="A170" s="948" t="s">
        <v>668</v>
      </c>
      <c r="B170" s="944" t="s">
        <v>2050</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6" t="s">
        <v>5</v>
      </c>
      <c r="B171" s="1917" t="s">
        <v>1916</v>
      </c>
      <c r="C171" s="1918">
        <v>3100</v>
      </c>
      <c r="D171" s="1919" t="s">
        <v>1918</v>
      </c>
      <c r="E171" s="906"/>
      <c r="F171" s="1904"/>
      <c r="G171" s="927"/>
    </row>
    <row r="172" spans="1:7" x14ac:dyDescent="0.2">
      <c r="A172" s="1916" t="s">
        <v>664</v>
      </c>
      <c r="B172" s="1917" t="s">
        <v>1916</v>
      </c>
      <c r="C172" s="1918">
        <v>3300</v>
      </c>
      <c r="D172" s="1919" t="s">
        <v>1919</v>
      </c>
      <c r="E172" s="906"/>
      <c r="F172" s="1904"/>
      <c r="G172" s="927"/>
    </row>
    <row r="173" spans="1:7" ht="6" customHeight="1" x14ac:dyDescent="0.2">
      <c r="A173" s="927"/>
      <c r="B173" s="927"/>
      <c r="C173" s="949"/>
      <c r="D173" s="927"/>
      <c r="E173" s="906"/>
      <c r="F173" s="950"/>
      <c r="G173" s="947"/>
    </row>
    <row r="174" spans="1:7" x14ac:dyDescent="0.2">
      <c r="A174" s="1768"/>
      <c r="B174" s="1782"/>
      <c r="C174" s="1783"/>
      <c r="D174" s="1784" t="s">
        <v>2051</v>
      </c>
      <c r="E174" s="1785" t="s">
        <v>958</v>
      </c>
      <c r="F174" s="1786">
        <f>SUM(F84:F132,F157:F172)</f>
        <v>3777337</v>
      </c>
    </row>
    <row r="175" spans="1:7" ht="12" customHeight="1" x14ac:dyDescent="0.2">
      <c r="A175" s="1768"/>
      <c r="B175" s="1782"/>
      <c r="C175" s="1783"/>
      <c r="D175" s="1784" t="s">
        <v>2052</v>
      </c>
      <c r="E175" s="1785"/>
      <c r="F175" s="1787">
        <f>'PCTC-OEPP 27-28'!F77-F174</f>
        <v>5700278</v>
      </c>
    </row>
    <row r="176" spans="1:7" ht="12" customHeight="1" x14ac:dyDescent="0.2">
      <c r="A176" s="1768"/>
      <c r="B176" s="1782"/>
      <c r="C176" s="1783"/>
      <c r="D176" s="1784" t="s">
        <v>1814</v>
      </c>
      <c r="E176" s="1785"/>
      <c r="F176" s="1787">
        <f>'Cap Outlay Deprec 26'!I18</f>
        <v>93474</v>
      </c>
    </row>
    <row r="177" spans="1:7" ht="12" customHeight="1" x14ac:dyDescent="0.2">
      <c r="A177" s="1768"/>
      <c r="B177" s="1782"/>
      <c r="C177" s="1783"/>
      <c r="D177" s="1784" t="s">
        <v>2053</v>
      </c>
      <c r="E177" s="1785"/>
      <c r="F177" s="1787">
        <f>F175+F176</f>
        <v>5793752</v>
      </c>
    </row>
    <row r="178" spans="1:7" ht="12" customHeight="1" x14ac:dyDescent="0.2">
      <c r="A178" s="1768"/>
      <c r="B178" s="1788"/>
      <c r="C178" s="1783"/>
      <c r="D178" s="1784" t="str">
        <f>D78</f>
        <v>9 Month ADA from District Average Daily Attendance/Prior General State Aid Inquiry 2018-2019</v>
      </c>
      <c r="E178" s="1785"/>
      <c r="F178" s="1789">
        <f>'PCTC-OEPP 27-28'!F78</f>
        <v>0</v>
      </c>
      <c r="G178" s="930"/>
    </row>
    <row r="179" spans="1:7" ht="12" customHeight="1" thickBot="1" x14ac:dyDescent="0.25">
      <c r="A179" s="1768"/>
      <c r="B179" s="1788"/>
      <c r="C179" s="1783"/>
      <c r="D179" s="1784" t="s">
        <v>2054</v>
      </c>
      <c r="E179" s="1785" t="s">
        <v>1545</v>
      </c>
      <c r="F179" s="1790" t="e">
        <f>F177/F178</f>
        <v>#DIV/0!</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0" customFormat="1" ht="12.2" customHeight="1" x14ac:dyDescent="0.2">
      <c r="A182" s="1920" t="s">
        <v>1989</v>
      </c>
      <c r="B182" s="1921"/>
      <c r="C182" s="1922"/>
      <c r="D182" s="1921"/>
      <c r="E182" s="1922"/>
      <c r="F182" s="1921"/>
      <c r="G182" s="1921"/>
    </row>
    <row r="183" spans="1:7" s="1920" customFormat="1" ht="12.2" customHeight="1" x14ac:dyDescent="0.2">
      <c r="A183" s="1923" t="s">
        <v>1991</v>
      </c>
      <c r="C183" s="1922"/>
      <c r="D183" s="1921"/>
      <c r="E183" s="1922"/>
      <c r="F183" s="1921"/>
      <c r="G183" s="1921"/>
    </row>
    <row r="184" spans="1:7" ht="12" customHeight="1" x14ac:dyDescent="0.2">
      <c r="C184" s="949"/>
      <c r="D184" s="930"/>
      <c r="E184" s="949"/>
      <c r="F184" s="930"/>
      <c r="G184" s="930"/>
    </row>
    <row r="185" spans="1:7" x14ac:dyDescent="0.2">
      <c r="A185" s="1924" t="s">
        <v>1921</v>
      </c>
      <c r="B185" s="1925"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41"/>
  <sheetViews>
    <sheetView showGridLines="0" topLeftCell="A10" zoomScaleNormal="100" workbookViewId="0">
      <selection activeCell="D24" sqref="D24"/>
    </sheetView>
  </sheetViews>
  <sheetFormatPr defaultRowHeight="15" x14ac:dyDescent="0.25"/>
  <cols>
    <col min="1" max="1" width="52" style="1540" customWidth="1"/>
    <col min="2" max="2" width="16.42578125" style="1541" bestFit="1" customWidth="1"/>
    <col min="3" max="3" width="33.7109375" style="1541" customWidth="1"/>
    <col min="4" max="4" width="16.28515625" style="1542" customWidth="1"/>
    <col min="5" max="5" width="30" style="1542" hidden="1" customWidth="1"/>
    <col min="6" max="6" width="23.5703125" style="1542" customWidth="1"/>
    <col min="7" max="7" width="23.28515625" style="1541" customWidth="1"/>
    <col min="8" max="16384" width="9.140625" style="1531"/>
  </cols>
  <sheetData>
    <row r="1" spans="1:7" ht="15" customHeight="1" x14ac:dyDescent="0.25">
      <c r="A1" s="1657" t="s">
        <v>1829</v>
      </c>
      <c r="B1" s="1658"/>
      <c r="C1" s="1658"/>
      <c r="D1" s="1658"/>
      <c r="E1" s="1658"/>
      <c r="F1" s="1658"/>
      <c r="G1" s="1658"/>
    </row>
    <row r="2" spans="1:7" x14ac:dyDescent="0.25">
      <c r="A2" s="1655"/>
      <c r="B2" s="1655"/>
      <c r="C2" s="1656" t="s">
        <v>979</v>
      </c>
      <c r="D2" s="1655"/>
      <c r="E2" s="1655"/>
      <c r="F2" s="1655"/>
      <c r="G2" s="1655"/>
    </row>
    <row r="3" spans="1:7" ht="5.25" customHeight="1" x14ac:dyDescent="0.25">
      <c r="A3" s="1543"/>
      <c r="B3" s="1543"/>
      <c r="C3" s="1543"/>
      <c r="D3" s="1543"/>
      <c r="E3" s="1543"/>
      <c r="F3" s="1543"/>
      <c r="G3" s="1543"/>
    </row>
    <row r="4" spans="1:7" ht="18.75" customHeight="1" x14ac:dyDescent="0.25">
      <c r="A4" s="2272" t="s">
        <v>1815</v>
      </c>
      <c r="B4" s="2273"/>
      <c r="C4" s="2273"/>
      <c r="D4" s="2273"/>
      <c r="E4" s="2273"/>
      <c r="F4" s="2273"/>
      <c r="G4" s="2274"/>
    </row>
    <row r="5" spans="1:7" x14ac:dyDescent="0.25">
      <c r="A5" s="2275"/>
      <c r="B5" s="2276"/>
      <c r="C5" s="2276"/>
      <c r="D5" s="2276"/>
      <c r="E5" s="2276"/>
      <c r="F5" s="2276"/>
      <c r="G5" s="2277"/>
    </row>
    <row r="6" spans="1:7" ht="18.75" x14ac:dyDescent="0.25">
      <c r="A6" s="1532" t="s">
        <v>1816</v>
      </c>
      <c r="B6" s="1533"/>
      <c r="C6" s="1533"/>
      <c r="D6" s="1533"/>
      <c r="E6" s="1533"/>
      <c r="F6" s="1533"/>
      <c r="G6" s="1534"/>
    </row>
    <row r="7" spans="1:7" ht="30.75" customHeight="1" x14ac:dyDescent="0.25">
      <c r="A7" s="2278" t="s">
        <v>1928</v>
      </c>
      <c r="B7" s="2279"/>
      <c r="C7" s="2279"/>
      <c r="D7" s="2279"/>
      <c r="E7" s="2279"/>
      <c r="F7" s="2279"/>
      <c r="G7" s="2280"/>
    </row>
    <row r="8" spans="1:7" ht="15.75" customHeight="1" x14ac:dyDescent="0.25">
      <c r="A8" s="2281" t="s">
        <v>1903</v>
      </c>
      <c r="B8" s="2282"/>
      <c r="C8" s="2282"/>
      <c r="D8" s="2282"/>
      <c r="E8" s="2282"/>
      <c r="F8" s="2282"/>
      <c r="G8" s="2283"/>
    </row>
    <row r="9" spans="1:7" ht="35.25" customHeight="1" x14ac:dyDescent="0.25">
      <c r="A9" s="2278" t="s">
        <v>2060</v>
      </c>
      <c r="B9" s="2279"/>
      <c r="C9" s="2279"/>
      <c r="D9" s="2279"/>
      <c r="E9" s="2279"/>
      <c r="F9" s="2279"/>
      <c r="G9" s="2280"/>
    </row>
    <row r="10" spans="1:7" ht="15" customHeight="1" x14ac:dyDescent="0.25">
      <c r="A10" s="1535" t="s">
        <v>1817</v>
      </c>
      <c r="B10" s="1536"/>
      <c r="C10" s="1536"/>
      <c r="D10" s="1536"/>
      <c r="E10" s="1536"/>
      <c r="F10" s="1536"/>
      <c r="G10" s="1537"/>
    </row>
    <row r="11" spans="1:7" ht="17.25" customHeight="1" x14ac:dyDescent="0.25">
      <c r="A11" s="2278" t="s">
        <v>1930</v>
      </c>
      <c r="B11" s="2279"/>
      <c r="C11" s="2279"/>
      <c r="D11" s="2279"/>
      <c r="E11" s="2279"/>
      <c r="F11" s="2279"/>
      <c r="G11" s="2280"/>
    </row>
    <row r="12" spans="1:7" ht="15" customHeight="1" x14ac:dyDescent="0.25">
      <c r="A12" s="1535" t="s">
        <v>1822</v>
      </c>
      <c r="B12" s="1536"/>
      <c r="C12" s="1536"/>
      <c r="D12" s="1536"/>
      <c r="E12" s="1536"/>
      <c r="F12" s="1536"/>
      <c r="G12" s="1537"/>
    </row>
    <row r="13" spans="1:7" ht="32.25" customHeight="1" x14ac:dyDescent="0.25">
      <c r="A13" s="2269" t="s">
        <v>1971</v>
      </c>
      <c r="B13" s="2270"/>
      <c r="C13" s="2270"/>
      <c r="D13" s="2270"/>
      <c r="E13" s="2270"/>
      <c r="F13" s="2270"/>
      <c r="G13" s="2271"/>
    </row>
    <row r="14" spans="1:7" x14ac:dyDescent="0.25">
      <c r="A14" s="1659" t="s">
        <v>1830</v>
      </c>
      <c r="B14" s="1660"/>
      <c r="C14" s="1660"/>
      <c r="D14" s="1660"/>
      <c r="E14" s="1660"/>
      <c r="F14" s="1660"/>
      <c r="G14" s="1661"/>
    </row>
    <row r="15" spans="1:7" ht="61.5" customHeight="1" x14ac:dyDescent="0.25">
      <c r="A15" s="1544" t="s">
        <v>1823</v>
      </c>
      <c r="B15" s="1544" t="s">
        <v>1824</v>
      </c>
      <c r="C15" s="1544" t="s">
        <v>1825</v>
      </c>
      <c r="D15" s="1545" t="s">
        <v>1826</v>
      </c>
      <c r="E15" s="1545" t="s">
        <v>1818</v>
      </c>
      <c r="F15" s="1545" t="s">
        <v>1827</v>
      </c>
      <c r="G15" s="1545" t="s">
        <v>1828</v>
      </c>
    </row>
    <row r="16" spans="1:7" x14ac:dyDescent="0.25">
      <c r="A16" s="1646" t="s">
        <v>1831</v>
      </c>
      <c r="B16" s="1647" t="s">
        <v>1821</v>
      </c>
      <c r="C16" s="1648" t="s">
        <v>1819</v>
      </c>
      <c r="D16" s="1649">
        <v>500000</v>
      </c>
      <c r="E16" s="1649">
        <f>IF(D16&lt;=25000,D16,IF(D16&gt;25000,25000,0))</f>
        <v>25000</v>
      </c>
      <c r="F16" s="164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0">
        <f>IF(F16=0,"0",D16-F16)</f>
        <v>475000</v>
      </c>
    </row>
    <row r="17" spans="1:8" x14ac:dyDescent="0.25">
      <c r="A17" s="1937" t="s">
        <v>2082</v>
      </c>
      <c r="B17" s="1938" t="s">
        <v>2083</v>
      </c>
      <c r="C17" s="1939" t="s">
        <v>2084</v>
      </c>
      <c r="D17" s="1842">
        <v>2254</v>
      </c>
      <c r="E17" s="1538">
        <f t="shared" ref="E17:E141" si="0">IF(D17&lt;=25000,D17,IF(D17&gt;25000,25000,0))</f>
        <v>2254</v>
      </c>
      <c r="F17" s="193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2254</v>
      </c>
      <c r="G17" s="1791">
        <f>IF(F17=0,0,D17-F17)</f>
        <v>0</v>
      </c>
      <c r="H17" s="1645"/>
    </row>
    <row r="18" spans="1:8" x14ac:dyDescent="0.25">
      <c r="A18" s="1937" t="s">
        <v>2082</v>
      </c>
      <c r="B18" s="1938" t="s">
        <v>2083</v>
      </c>
      <c r="C18" s="1939" t="s">
        <v>2085</v>
      </c>
      <c r="D18" s="1842">
        <v>7674</v>
      </c>
      <c r="E18" s="1538">
        <f t="shared" ref="E18:E140" si="2">IF(D18&lt;=25000,D18,IF(D18&gt;25000,25000,0))</f>
        <v>7674</v>
      </c>
      <c r="F18" s="1930">
        <f t="shared" si="1"/>
        <v>7674</v>
      </c>
      <c r="G18" s="1791">
        <f t="shared" ref="G18:G140" si="3">IF(F18=0,0,D18-F18)</f>
        <v>0</v>
      </c>
    </row>
    <row r="19" spans="1:8" x14ac:dyDescent="0.25">
      <c r="A19" s="1937" t="s">
        <v>2086</v>
      </c>
      <c r="B19" s="1938" t="s">
        <v>2087</v>
      </c>
      <c r="C19" s="1939" t="s">
        <v>2088</v>
      </c>
      <c r="D19" s="1842">
        <v>51144</v>
      </c>
      <c r="E19" s="1538">
        <f t="shared" si="2"/>
        <v>25000</v>
      </c>
      <c r="F19" s="1930">
        <f t="shared" si="1"/>
        <v>25000</v>
      </c>
      <c r="G19" s="1791">
        <f t="shared" si="3"/>
        <v>26144</v>
      </c>
    </row>
    <row r="20" spans="1:8" x14ac:dyDescent="0.25">
      <c r="A20" s="1937" t="s">
        <v>2089</v>
      </c>
      <c r="B20" s="1938" t="s">
        <v>2090</v>
      </c>
      <c r="C20" s="1939" t="s">
        <v>2091</v>
      </c>
      <c r="D20" s="1842">
        <v>10043</v>
      </c>
      <c r="E20" s="1538">
        <f t="shared" si="2"/>
        <v>10043</v>
      </c>
      <c r="F20" s="1930">
        <f t="shared" si="1"/>
        <v>10043</v>
      </c>
      <c r="G20" s="1791">
        <f t="shared" si="3"/>
        <v>0</v>
      </c>
    </row>
    <row r="21" spans="1:8" x14ac:dyDescent="0.25">
      <c r="A21" s="1937" t="s">
        <v>2082</v>
      </c>
      <c r="B21" s="1938" t="s">
        <v>2083</v>
      </c>
      <c r="C21" s="1939" t="s">
        <v>2092</v>
      </c>
      <c r="D21" s="1842">
        <v>15996</v>
      </c>
      <c r="E21" s="1538">
        <f t="shared" si="2"/>
        <v>15996</v>
      </c>
      <c r="F21" s="1930">
        <f t="shared" si="1"/>
        <v>15996</v>
      </c>
      <c r="G21" s="1791">
        <f t="shared" si="3"/>
        <v>0</v>
      </c>
    </row>
    <row r="22" spans="1:8" x14ac:dyDescent="0.25">
      <c r="A22" s="1937" t="s">
        <v>2086</v>
      </c>
      <c r="B22" s="1938" t="s">
        <v>2087</v>
      </c>
      <c r="C22" s="1939" t="s">
        <v>2093</v>
      </c>
      <c r="D22" s="1842">
        <v>29446</v>
      </c>
      <c r="E22" s="1538">
        <f t="shared" si="2"/>
        <v>25000</v>
      </c>
      <c r="F22" s="1930">
        <f t="shared" si="1"/>
        <v>25000</v>
      </c>
      <c r="G22" s="1791">
        <f t="shared" si="3"/>
        <v>4446</v>
      </c>
    </row>
    <row r="23" spans="1:8" x14ac:dyDescent="0.25">
      <c r="A23" s="1937" t="s">
        <v>2086</v>
      </c>
      <c r="B23" s="1938" t="s">
        <v>2094</v>
      </c>
      <c r="C23" s="1939" t="s">
        <v>2095</v>
      </c>
      <c r="D23" s="1842">
        <v>79875</v>
      </c>
      <c r="E23" s="1538">
        <f t="shared" si="2"/>
        <v>25000</v>
      </c>
      <c r="F23" s="1930">
        <f t="shared" si="1"/>
        <v>25000</v>
      </c>
      <c r="G23" s="1791">
        <f t="shared" si="3"/>
        <v>54875</v>
      </c>
    </row>
    <row r="24" spans="1:8" x14ac:dyDescent="0.25">
      <c r="A24" s="1937"/>
      <c r="B24" s="1938"/>
      <c r="C24" s="1939"/>
      <c r="D24" s="1842"/>
      <c r="E24" s="1538">
        <f t="shared" si="2"/>
        <v>0</v>
      </c>
      <c r="F24" s="1930">
        <f t="shared" si="1"/>
        <v>0</v>
      </c>
      <c r="G24" s="1791">
        <f t="shared" si="3"/>
        <v>0</v>
      </c>
    </row>
    <row r="25" spans="1:8" x14ac:dyDescent="0.25">
      <c r="A25" s="1651"/>
      <c r="B25" s="1932"/>
      <c r="C25" s="1654"/>
      <c r="D25" s="1842"/>
      <c r="E25" s="1538">
        <f t="shared" si="2"/>
        <v>0</v>
      </c>
      <c r="F25" s="1930">
        <f t="shared" si="1"/>
        <v>0</v>
      </c>
      <c r="G25" s="1791">
        <f t="shared" si="3"/>
        <v>0</v>
      </c>
    </row>
    <row r="26" spans="1:8" x14ac:dyDescent="0.25">
      <c r="A26" s="1651"/>
      <c r="B26" s="1932"/>
      <c r="C26" s="1652"/>
      <c r="D26" s="1842"/>
      <c r="E26" s="1538">
        <f t="shared" si="2"/>
        <v>0</v>
      </c>
      <c r="F26" s="1930">
        <f t="shared" si="1"/>
        <v>0</v>
      </c>
      <c r="G26" s="1791">
        <f t="shared" si="3"/>
        <v>0</v>
      </c>
    </row>
    <row r="27" spans="1:8" x14ac:dyDescent="0.25">
      <c r="A27" s="1651"/>
      <c r="B27" s="1932"/>
      <c r="C27" s="1652"/>
      <c r="D27" s="1842"/>
      <c r="E27" s="1538">
        <f t="shared" si="2"/>
        <v>0</v>
      </c>
      <c r="F27" s="1930">
        <f t="shared" si="1"/>
        <v>0</v>
      </c>
      <c r="G27" s="1791">
        <f t="shared" si="3"/>
        <v>0</v>
      </c>
    </row>
    <row r="28" spans="1:8" x14ac:dyDescent="0.25">
      <c r="A28" s="1651"/>
      <c r="B28" s="1932"/>
      <c r="C28" s="1652"/>
      <c r="D28" s="1842"/>
      <c r="E28" s="1538">
        <f t="shared" si="2"/>
        <v>0</v>
      </c>
      <c r="F28" s="1930">
        <f t="shared" si="1"/>
        <v>0</v>
      </c>
      <c r="G28" s="1791">
        <f t="shared" si="3"/>
        <v>0</v>
      </c>
    </row>
    <row r="29" spans="1:8" x14ac:dyDescent="0.25">
      <c r="A29" s="1651"/>
      <c r="B29" s="1932"/>
      <c r="C29" s="1652"/>
      <c r="D29" s="1842"/>
      <c r="E29" s="1538">
        <f t="shared" si="2"/>
        <v>0</v>
      </c>
      <c r="F29" s="1930">
        <f t="shared" si="1"/>
        <v>0</v>
      </c>
      <c r="G29" s="1791">
        <f t="shared" si="3"/>
        <v>0</v>
      </c>
    </row>
    <row r="30" spans="1:8" x14ac:dyDescent="0.25">
      <c r="A30" s="1651"/>
      <c r="B30" s="1932"/>
      <c r="C30" s="1652"/>
      <c r="D30" s="1842"/>
      <c r="E30" s="1538">
        <f t="shared" si="2"/>
        <v>0</v>
      </c>
      <c r="F30" s="1930">
        <f t="shared" si="1"/>
        <v>0</v>
      </c>
      <c r="G30" s="1791">
        <f t="shared" si="3"/>
        <v>0</v>
      </c>
    </row>
    <row r="31" spans="1:8" x14ac:dyDescent="0.25">
      <c r="A31" s="1651"/>
      <c r="B31" s="1932"/>
      <c r="C31" s="1652"/>
      <c r="D31" s="1842"/>
      <c r="E31" s="1538">
        <f t="shared" si="2"/>
        <v>0</v>
      </c>
      <c r="F31" s="1930">
        <f t="shared" si="1"/>
        <v>0</v>
      </c>
      <c r="G31" s="1791">
        <f t="shared" si="3"/>
        <v>0</v>
      </c>
    </row>
    <row r="32" spans="1:8" x14ac:dyDescent="0.25">
      <c r="A32" s="1651"/>
      <c r="B32" s="1932"/>
      <c r="C32" s="1652"/>
      <c r="D32" s="1842"/>
      <c r="E32" s="1538">
        <f t="shared" si="2"/>
        <v>0</v>
      </c>
      <c r="F32" s="1930">
        <f t="shared" si="1"/>
        <v>0</v>
      </c>
      <c r="G32" s="1791">
        <f t="shared" si="3"/>
        <v>0</v>
      </c>
    </row>
    <row r="33" spans="1:7" x14ac:dyDescent="0.25">
      <c r="A33" s="1651"/>
      <c r="B33" s="1932"/>
      <c r="C33" s="1652"/>
      <c r="D33" s="1842"/>
      <c r="E33" s="1538">
        <f t="shared" si="2"/>
        <v>0</v>
      </c>
      <c r="F33" s="1930">
        <f t="shared" si="1"/>
        <v>0</v>
      </c>
      <c r="G33" s="1791">
        <f t="shared" si="3"/>
        <v>0</v>
      </c>
    </row>
    <row r="34" spans="1:7" x14ac:dyDescent="0.25">
      <c r="A34" s="1651"/>
      <c r="B34" s="1932"/>
      <c r="C34" s="1652"/>
      <c r="D34" s="1842"/>
      <c r="E34" s="1538">
        <f t="shared" si="2"/>
        <v>0</v>
      </c>
      <c r="F34" s="1930">
        <f t="shared" si="1"/>
        <v>0</v>
      </c>
      <c r="G34" s="1791">
        <f t="shared" si="3"/>
        <v>0</v>
      </c>
    </row>
    <row r="35" spans="1:7" x14ac:dyDescent="0.25">
      <c r="A35" s="1651"/>
      <c r="B35" s="1932"/>
      <c r="C35" s="1652"/>
      <c r="D35" s="1842"/>
      <c r="E35" s="1538">
        <f t="shared" si="2"/>
        <v>0</v>
      </c>
      <c r="F35" s="1930">
        <f t="shared" si="1"/>
        <v>0</v>
      </c>
      <c r="G35" s="1791">
        <f t="shared" si="3"/>
        <v>0</v>
      </c>
    </row>
    <row r="36" spans="1:7" x14ac:dyDescent="0.25">
      <c r="A36" s="1651"/>
      <c r="B36" s="1932"/>
      <c r="C36" s="1652"/>
      <c r="D36" s="1842"/>
      <c r="E36" s="1538">
        <f t="shared" si="2"/>
        <v>0</v>
      </c>
      <c r="F36" s="1930">
        <f t="shared" si="1"/>
        <v>0</v>
      </c>
      <c r="G36" s="1791">
        <f t="shared" si="3"/>
        <v>0</v>
      </c>
    </row>
    <row r="37" spans="1:7" x14ac:dyDescent="0.25">
      <c r="A37" s="1651"/>
      <c r="B37" s="1932"/>
      <c r="C37" s="1652"/>
      <c r="D37" s="1842"/>
      <c r="E37" s="1538">
        <f t="shared" si="2"/>
        <v>0</v>
      </c>
      <c r="F37" s="1930">
        <f t="shared" si="1"/>
        <v>0</v>
      </c>
      <c r="G37" s="1791">
        <f t="shared" si="3"/>
        <v>0</v>
      </c>
    </row>
    <row r="38" spans="1:7" x14ac:dyDescent="0.25">
      <c r="A38" s="1651"/>
      <c r="B38" s="1933"/>
      <c r="C38" s="1652"/>
      <c r="D38" s="1842"/>
      <c r="E38" s="1538">
        <f t="shared" si="2"/>
        <v>0</v>
      </c>
      <c r="F38" s="1930">
        <f t="shared" si="1"/>
        <v>0</v>
      </c>
      <c r="G38" s="1791">
        <f t="shared" si="3"/>
        <v>0</v>
      </c>
    </row>
    <row r="39" spans="1:7" x14ac:dyDescent="0.25">
      <c r="A39" s="1651"/>
      <c r="B39" s="1933"/>
      <c r="C39" s="1652"/>
      <c r="D39" s="1842"/>
      <c r="E39" s="1538">
        <f t="shared" si="2"/>
        <v>0</v>
      </c>
      <c r="F39" s="1930">
        <f t="shared" si="1"/>
        <v>0</v>
      </c>
      <c r="G39" s="1791">
        <f t="shared" si="3"/>
        <v>0</v>
      </c>
    </row>
    <row r="40" spans="1:7" x14ac:dyDescent="0.25">
      <c r="A40" s="1651"/>
      <c r="B40" s="1933"/>
      <c r="C40" s="1652"/>
      <c r="D40" s="1842"/>
      <c r="E40" s="1538">
        <f t="shared" si="2"/>
        <v>0</v>
      </c>
      <c r="F40" s="1930">
        <f t="shared" si="1"/>
        <v>0</v>
      </c>
      <c r="G40" s="1791">
        <f t="shared" si="3"/>
        <v>0</v>
      </c>
    </row>
    <row r="41" spans="1:7" x14ac:dyDescent="0.25">
      <c r="A41" s="1651"/>
      <c r="B41" s="1933"/>
      <c r="C41" s="1652"/>
      <c r="D41" s="1842"/>
      <c r="E41" s="1538">
        <f t="shared" si="2"/>
        <v>0</v>
      </c>
      <c r="F41" s="1930">
        <f t="shared" si="1"/>
        <v>0</v>
      </c>
      <c r="G41" s="1791">
        <f t="shared" si="3"/>
        <v>0</v>
      </c>
    </row>
    <row r="42" spans="1:7" x14ac:dyDescent="0.25">
      <c r="A42" s="1651"/>
      <c r="B42" s="1933"/>
      <c r="C42" s="1652"/>
      <c r="D42" s="1842"/>
      <c r="E42" s="1538">
        <f t="shared" si="2"/>
        <v>0</v>
      </c>
      <c r="F42" s="1930">
        <f t="shared" si="1"/>
        <v>0</v>
      </c>
      <c r="G42" s="1791">
        <f t="shared" si="3"/>
        <v>0</v>
      </c>
    </row>
    <row r="43" spans="1:7" x14ac:dyDescent="0.25">
      <c r="A43" s="1651"/>
      <c r="B43" s="1933"/>
      <c r="C43" s="1652"/>
      <c r="D43" s="1842"/>
      <c r="E43" s="1538">
        <f t="shared" si="2"/>
        <v>0</v>
      </c>
      <c r="F43" s="1930">
        <f t="shared" si="1"/>
        <v>0</v>
      </c>
      <c r="G43" s="1791">
        <f t="shared" si="3"/>
        <v>0</v>
      </c>
    </row>
    <row r="44" spans="1:7" x14ac:dyDescent="0.25">
      <c r="A44" s="1651"/>
      <c r="B44" s="1933"/>
      <c r="C44" s="1652"/>
      <c r="D44" s="1842"/>
      <c r="E44" s="1538">
        <f t="shared" si="2"/>
        <v>0</v>
      </c>
      <c r="F44" s="1930">
        <f t="shared" si="1"/>
        <v>0</v>
      </c>
      <c r="G44" s="1791">
        <f t="shared" si="3"/>
        <v>0</v>
      </c>
    </row>
    <row r="45" spans="1:7" x14ac:dyDescent="0.25">
      <c r="A45" s="1651"/>
      <c r="B45" s="1933"/>
      <c r="C45" s="1652"/>
      <c r="D45" s="1842"/>
      <c r="E45" s="1538">
        <f t="shared" si="2"/>
        <v>0</v>
      </c>
      <c r="F45" s="1930">
        <f t="shared" si="1"/>
        <v>0</v>
      </c>
      <c r="G45" s="1791">
        <f t="shared" si="3"/>
        <v>0</v>
      </c>
    </row>
    <row r="46" spans="1:7" x14ac:dyDescent="0.25">
      <c r="A46" s="1651"/>
      <c r="B46" s="1665"/>
      <c r="C46" s="1652"/>
      <c r="D46" s="1842"/>
      <c r="E46" s="1538">
        <f t="shared" si="2"/>
        <v>0</v>
      </c>
      <c r="F46" s="1930">
        <f t="shared" si="1"/>
        <v>0</v>
      </c>
      <c r="G46" s="1791">
        <f t="shared" si="3"/>
        <v>0</v>
      </c>
    </row>
    <row r="47" spans="1:7" x14ac:dyDescent="0.25">
      <c r="A47" s="1651"/>
      <c r="B47" s="1665"/>
      <c r="C47" s="1652"/>
      <c r="D47" s="1842"/>
      <c r="E47" s="1538">
        <f t="shared" si="2"/>
        <v>0</v>
      </c>
      <c r="F47" s="1930">
        <f t="shared" si="1"/>
        <v>0</v>
      </c>
      <c r="G47" s="1791">
        <f t="shared" si="3"/>
        <v>0</v>
      </c>
    </row>
    <row r="48" spans="1:7" x14ac:dyDescent="0.25">
      <c r="A48" s="1651"/>
      <c r="B48" s="1665"/>
      <c r="C48" s="1652"/>
      <c r="D48" s="1842"/>
      <c r="E48" s="1538">
        <f t="shared" si="2"/>
        <v>0</v>
      </c>
      <c r="F48" s="1930">
        <f t="shared" si="1"/>
        <v>0</v>
      </c>
      <c r="G48" s="1791">
        <f t="shared" si="3"/>
        <v>0</v>
      </c>
    </row>
    <row r="49" spans="1:7" x14ac:dyDescent="0.25">
      <c r="A49" s="1651"/>
      <c r="B49" s="1665"/>
      <c r="C49" s="1652"/>
      <c r="D49" s="1842"/>
      <c r="E49" s="1538">
        <f t="shared" si="2"/>
        <v>0</v>
      </c>
      <c r="F49" s="1930">
        <f t="shared" si="1"/>
        <v>0</v>
      </c>
      <c r="G49" s="1791">
        <f t="shared" si="3"/>
        <v>0</v>
      </c>
    </row>
    <row r="50" spans="1:7" x14ac:dyDescent="0.25">
      <c r="A50" s="1651"/>
      <c r="B50" s="1665"/>
      <c r="C50" s="1652"/>
      <c r="D50" s="1842"/>
      <c r="E50" s="1538">
        <f t="shared" si="2"/>
        <v>0</v>
      </c>
      <c r="F50" s="1930">
        <f t="shared" si="1"/>
        <v>0</v>
      </c>
      <c r="G50" s="1791">
        <f t="shared" si="3"/>
        <v>0</v>
      </c>
    </row>
    <row r="51" spans="1:7" x14ac:dyDescent="0.25">
      <c r="A51" s="1651"/>
      <c r="B51" s="1665"/>
      <c r="C51" s="1652"/>
      <c r="D51" s="1842"/>
      <c r="E51" s="1538">
        <f t="shared" si="2"/>
        <v>0</v>
      </c>
      <c r="F51" s="1930">
        <f t="shared" si="1"/>
        <v>0</v>
      </c>
      <c r="G51" s="1791">
        <f t="shared" si="3"/>
        <v>0</v>
      </c>
    </row>
    <row r="52" spans="1:7" x14ac:dyDescent="0.25">
      <c r="A52" s="1651"/>
      <c r="B52" s="1665"/>
      <c r="C52" s="1652"/>
      <c r="D52" s="1842"/>
      <c r="E52" s="1538">
        <f t="shared" si="2"/>
        <v>0</v>
      </c>
      <c r="F52" s="1930">
        <f t="shared" si="1"/>
        <v>0</v>
      </c>
      <c r="G52" s="1791">
        <f t="shared" si="3"/>
        <v>0</v>
      </c>
    </row>
    <row r="53" spans="1:7" x14ac:dyDescent="0.25">
      <c r="A53" s="1651"/>
      <c r="B53" s="1665"/>
      <c r="C53" s="1652"/>
      <c r="D53" s="1842"/>
      <c r="E53" s="1538">
        <f t="shared" si="2"/>
        <v>0</v>
      </c>
      <c r="F53" s="1930">
        <f t="shared" si="1"/>
        <v>0</v>
      </c>
      <c r="G53" s="1791">
        <f t="shared" si="3"/>
        <v>0</v>
      </c>
    </row>
    <row r="54" spans="1:7" x14ac:dyDescent="0.25">
      <c r="A54" s="1651"/>
      <c r="B54" s="1665"/>
      <c r="C54" s="1652"/>
      <c r="D54" s="1842"/>
      <c r="E54" s="1538">
        <f t="shared" si="2"/>
        <v>0</v>
      </c>
      <c r="F54" s="1930">
        <f t="shared" si="1"/>
        <v>0</v>
      </c>
      <c r="G54" s="1791">
        <f t="shared" si="3"/>
        <v>0</v>
      </c>
    </row>
    <row r="55" spans="1:7" x14ac:dyDescent="0.25">
      <c r="A55" s="1651"/>
      <c r="B55" s="1665"/>
      <c r="C55" s="1652"/>
      <c r="D55" s="1842"/>
      <c r="E55" s="1538">
        <f t="shared" si="2"/>
        <v>0</v>
      </c>
      <c r="F55" s="1930">
        <f t="shared" si="1"/>
        <v>0</v>
      </c>
      <c r="G55" s="1791">
        <f t="shared" si="3"/>
        <v>0</v>
      </c>
    </row>
    <row r="56" spans="1:7" x14ac:dyDescent="0.25">
      <c r="A56" s="1651"/>
      <c r="B56" s="1665"/>
      <c r="C56" s="1652"/>
      <c r="D56" s="1842"/>
      <c r="E56" s="1538">
        <f t="shared" si="2"/>
        <v>0</v>
      </c>
      <c r="F56" s="1930">
        <f t="shared" si="1"/>
        <v>0</v>
      </c>
      <c r="G56" s="1791">
        <f t="shared" si="3"/>
        <v>0</v>
      </c>
    </row>
    <row r="57" spans="1:7" x14ac:dyDescent="0.25">
      <c r="A57" s="1651"/>
      <c r="B57" s="1665"/>
      <c r="C57" s="1652"/>
      <c r="D57" s="1842"/>
      <c r="E57" s="1538">
        <f t="shared" si="2"/>
        <v>0</v>
      </c>
      <c r="F57" s="1930">
        <f t="shared" si="1"/>
        <v>0</v>
      </c>
      <c r="G57" s="1791">
        <f t="shared" si="3"/>
        <v>0</v>
      </c>
    </row>
    <row r="58" spans="1:7" x14ac:dyDescent="0.25">
      <c r="A58" s="1651"/>
      <c r="B58" s="1665"/>
      <c r="C58" s="1652"/>
      <c r="D58" s="1842"/>
      <c r="E58" s="1538">
        <f t="shared" si="2"/>
        <v>0</v>
      </c>
      <c r="F58" s="1930">
        <f t="shared" si="1"/>
        <v>0</v>
      </c>
      <c r="G58" s="1791">
        <f t="shared" si="3"/>
        <v>0</v>
      </c>
    </row>
    <row r="59" spans="1:7" x14ac:dyDescent="0.25">
      <c r="A59" s="1651"/>
      <c r="B59" s="1665"/>
      <c r="C59" s="1652"/>
      <c r="D59" s="1842"/>
      <c r="E59" s="1538">
        <f t="shared" si="2"/>
        <v>0</v>
      </c>
      <c r="F59" s="1930">
        <f t="shared" si="1"/>
        <v>0</v>
      </c>
      <c r="G59" s="1791">
        <f t="shared" si="3"/>
        <v>0</v>
      </c>
    </row>
    <row r="60" spans="1:7" x14ac:dyDescent="0.25">
      <c r="A60" s="1651"/>
      <c r="B60" s="1665"/>
      <c r="C60" s="1652"/>
      <c r="D60" s="1842"/>
      <c r="E60" s="1538">
        <f t="shared" si="2"/>
        <v>0</v>
      </c>
      <c r="F60" s="1930">
        <f t="shared" si="1"/>
        <v>0</v>
      </c>
      <c r="G60" s="1791">
        <f t="shared" si="3"/>
        <v>0</v>
      </c>
    </row>
    <row r="61" spans="1:7" x14ac:dyDescent="0.25">
      <c r="A61" s="1651"/>
      <c r="B61" s="1665"/>
      <c r="C61" s="1652"/>
      <c r="D61" s="1842"/>
      <c r="E61" s="1538">
        <f t="shared" si="2"/>
        <v>0</v>
      </c>
      <c r="F61" s="1930">
        <f t="shared" si="1"/>
        <v>0</v>
      </c>
      <c r="G61" s="1791">
        <f t="shared" si="3"/>
        <v>0</v>
      </c>
    </row>
    <row r="62" spans="1:7" x14ac:dyDescent="0.25">
      <c r="A62" s="1651"/>
      <c r="B62" s="1665"/>
      <c r="C62" s="1652"/>
      <c r="D62" s="1842"/>
      <c r="E62" s="1538">
        <f t="shared" si="2"/>
        <v>0</v>
      </c>
      <c r="F62" s="1930">
        <f t="shared" si="1"/>
        <v>0</v>
      </c>
      <c r="G62" s="1791">
        <f t="shared" si="3"/>
        <v>0</v>
      </c>
    </row>
    <row r="63" spans="1:7" x14ac:dyDescent="0.25">
      <c r="A63" s="1651"/>
      <c r="B63" s="1665"/>
      <c r="C63" s="1652"/>
      <c r="D63" s="1842"/>
      <c r="E63" s="1538">
        <f t="shared" si="2"/>
        <v>0</v>
      </c>
      <c r="F63" s="1930">
        <f t="shared" si="1"/>
        <v>0</v>
      </c>
      <c r="G63" s="1791">
        <f t="shared" si="3"/>
        <v>0</v>
      </c>
    </row>
    <row r="64" spans="1:7" x14ac:dyDescent="0.25">
      <c r="A64" s="1653"/>
      <c r="B64" s="1665"/>
      <c r="C64" s="1654"/>
      <c r="D64" s="1842"/>
      <c r="E64" s="1538">
        <f t="shared" si="2"/>
        <v>0</v>
      </c>
      <c r="F64" s="1930">
        <f t="shared" si="1"/>
        <v>0</v>
      </c>
      <c r="G64" s="1791">
        <f t="shared" si="3"/>
        <v>0</v>
      </c>
    </row>
    <row r="65" spans="1:7" x14ac:dyDescent="0.25">
      <c r="A65" s="1651"/>
      <c r="B65" s="1665"/>
      <c r="C65" s="1652"/>
      <c r="D65" s="1842"/>
      <c r="E65" s="1538">
        <f t="shared" si="2"/>
        <v>0</v>
      </c>
      <c r="F65" s="1930">
        <f t="shared" si="1"/>
        <v>0</v>
      </c>
      <c r="G65" s="1791">
        <f t="shared" si="3"/>
        <v>0</v>
      </c>
    </row>
    <row r="66" spans="1:7" x14ac:dyDescent="0.25">
      <c r="A66" s="1651"/>
      <c r="B66" s="1665"/>
      <c r="C66" s="1652"/>
      <c r="D66" s="1842"/>
      <c r="E66" s="1538">
        <f t="shared" si="2"/>
        <v>0</v>
      </c>
      <c r="F66" s="1930">
        <f t="shared" si="1"/>
        <v>0</v>
      </c>
      <c r="G66" s="1791">
        <f t="shared" si="3"/>
        <v>0</v>
      </c>
    </row>
    <row r="67" spans="1:7" x14ac:dyDescent="0.25">
      <c r="A67" s="1651"/>
      <c r="B67" s="1665"/>
      <c r="C67" s="1652"/>
      <c r="D67" s="1842"/>
      <c r="E67" s="1538">
        <f t="shared" si="2"/>
        <v>0</v>
      </c>
      <c r="F67" s="1930">
        <f t="shared" si="1"/>
        <v>0</v>
      </c>
      <c r="G67" s="1791">
        <f t="shared" si="3"/>
        <v>0</v>
      </c>
    </row>
    <row r="68" spans="1:7" x14ac:dyDescent="0.25">
      <c r="A68" s="1651"/>
      <c r="B68" s="1665"/>
      <c r="C68" s="1652"/>
      <c r="D68" s="1842"/>
      <c r="E68" s="1538">
        <f t="shared" si="2"/>
        <v>0</v>
      </c>
      <c r="F68" s="1930">
        <f t="shared" si="1"/>
        <v>0</v>
      </c>
      <c r="G68" s="1791">
        <f t="shared" si="3"/>
        <v>0</v>
      </c>
    </row>
    <row r="69" spans="1:7" x14ac:dyDescent="0.25">
      <c r="A69" s="1651"/>
      <c r="B69" s="1665"/>
      <c r="C69" s="1652"/>
      <c r="D69" s="1842"/>
      <c r="E69" s="1538">
        <f t="shared" si="2"/>
        <v>0</v>
      </c>
      <c r="F69" s="1930">
        <f t="shared" si="1"/>
        <v>0</v>
      </c>
      <c r="G69" s="1791">
        <f t="shared" si="3"/>
        <v>0</v>
      </c>
    </row>
    <row r="70" spans="1:7" x14ac:dyDescent="0.25">
      <c r="A70" s="1651"/>
      <c r="B70" s="1665"/>
      <c r="C70" s="1652"/>
      <c r="D70" s="1842"/>
      <c r="E70" s="1538">
        <f t="shared" si="2"/>
        <v>0</v>
      </c>
      <c r="F70" s="1930">
        <f t="shared" si="1"/>
        <v>0</v>
      </c>
      <c r="G70" s="1791">
        <f t="shared" si="3"/>
        <v>0</v>
      </c>
    </row>
    <row r="71" spans="1:7" x14ac:dyDescent="0.25">
      <c r="A71" s="1651"/>
      <c r="B71" s="1665"/>
      <c r="C71" s="1652"/>
      <c r="D71" s="1842"/>
      <c r="E71" s="1538">
        <f t="shared" si="2"/>
        <v>0</v>
      </c>
      <c r="F71" s="1930">
        <f t="shared" si="1"/>
        <v>0</v>
      </c>
      <c r="G71" s="1791">
        <f t="shared" si="3"/>
        <v>0</v>
      </c>
    </row>
    <row r="72" spans="1:7" x14ac:dyDescent="0.25">
      <c r="A72" s="1651"/>
      <c r="B72" s="1665"/>
      <c r="C72" s="1652"/>
      <c r="D72" s="1842"/>
      <c r="E72" s="1538">
        <f t="shared" si="2"/>
        <v>0</v>
      </c>
      <c r="F72" s="1930">
        <f t="shared" si="1"/>
        <v>0</v>
      </c>
      <c r="G72" s="1791">
        <f t="shared" si="3"/>
        <v>0</v>
      </c>
    </row>
    <row r="73" spans="1:7" x14ac:dyDescent="0.25">
      <c r="A73" s="1651"/>
      <c r="B73" s="1665"/>
      <c r="C73" s="1652"/>
      <c r="D73" s="1842"/>
      <c r="E73" s="1538">
        <f t="shared" ref="E73:E84" si="4">IF(D73&lt;=25000,D73,IF(D73&gt;25000,25000,0))</f>
        <v>0</v>
      </c>
      <c r="F73" s="1930">
        <f t="shared" si="1"/>
        <v>0</v>
      </c>
      <c r="G73" s="1791">
        <f t="shared" ref="G73:G84" si="5">IF(F73=0,0,D73-F73)</f>
        <v>0</v>
      </c>
    </row>
    <row r="74" spans="1:7" x14ac:dyDescent="0.25">
      <c r="A74" s="1651"/>
      <c r="B74" s="1665"/>
      <c r="C74" s="1652"/>
      <c r="D74" s="1842"/>
      <c r="E74" s="1538">
        <f t="shared" si="4"/>
        <v>0</v>
      </c>
      <c r="F74" s="1930">
        <f t="shared" si="1"/>
        <v>0</v>
      </c>
      <c r="G74" s="1791">
        <f t="shared" si="5"/>
        <v>0</v>
      </c>
    </row>
    <row r="75" spans="1:7" x14ac:dyDescent="0.25">
      <c r="A75" s="1651"/>
      <c r="B75" s="1665"/>
      <c r="C75" s="1652"/>
      <c r="D75" s="1842"/>
      <c r="E75" s="1538">
        <f t="shared" si="4"/>
        <v>0</v>
      </c>
      <c r="F75" s="1930">
        <f t="shared" si="1"/>
        <v>0</v>
      </c>
      <c r="G75" s="1791">
        <f t="shared" si="5"/>
        <v>0</v>
      </c>
    </row>
    <row r="76" spans="1:7" x14ac:dyDescent="0.25">
      <c r="A76" s="1651"/>
      <c r="B76" s="1665"/>
      <c r="C76" s="1652"/>
      <c r="D76" s="1842"/>
      <c r="E76" s="1538">
        <f t="shared" si="4"/>
        <v>0</v>
      </c>
      <c r="F76" s="1930">
        <f t="shared" si="1"/>
        <v>0</v>
      </c>
      <c r="G76" s="1791">
        <f t="shared" si="5"/>
        <v>0</v>
      </c>
    </row>
    <row r="77" spans="1:7" x14ac:dyDescent="0.25">
      <c r="A77" s="1651"/>
      <c r="B77" s="1665"/>
      <c r="C77" s="1652"/>
      <c r="D77" s="1842"/>
      <c r="E77" s="1538">
        <f t="shared" si="4"/>
        <v>0</v>
      </c>
      <c r="F77" s="1930">
        <f t="shared" si="1"/>
        <v>0</v>
      </c>
      <c r="G77" s="1791">
        <f t="shared" si="5"/>
        <v>0</v>
      </c>
    </row>
    <row r="78" spans="1:7" x14ac:dyDescent="0.25">
      <c r="A78" s="1651"/>
      <c r="B78" s="1665"/>
      <c r="C78" s="1652"/>
      <c r="D78" s="1842"/>
      <c r="E78" s="1538">
        <f t="shared" si="4"/>
        <v>0</v>
      </c>
      <c r="F78" s="1930">
        <f t="shared" si="1"/>
        <v>0</v>
      </c>
      <c r="G78" s="1791">
        <f t="shared" si="5"/>
        <v>0</v>
      </c>
    </row>
    <row r="79" spans="1:7" x14ac:dyDescent="0.25">
      <c r="A79" s="1651"/>
      <c r="B79" s="1665"/>
      <c r="C79" s="1652"/>
      <c r="D79" s="1842"/>
      <c r="E79" s="1538">
        <f t="shared" si="4"/>
        <v>0</v>
      </c>
      <c r="F79" s="1930">
        <f t="shared" si="1"/>
        <v>0</v>
      </c>
      <c r="G79" s="1791">
        <f t="shared" si="5"/>
        <v>0</v>
      </c>
    </row>
    <row r="80" spans="1:7" x14ac:dyDescent="0.25">
      <c r="A80" s="1651"/>
      <c r="B80" s="1665"/>
      <c r="C80" s="1652"/>
      <c r="D80" s="1842"/>
      <c r="E80" s="1538">
        <f t="shared" si="4"/>
        <v>0</v>
      </c>
      <c r="F80" s="1930">
        <f t="shared" si="1"/>
        <v>0</v>
      </c>
      <c r="G80" s="1791">
        <f t="shared" si="5"/>
        <v>0</v>
      </c>
    </row>
    <row r="81" spans="1:7" x14ac:dyDescent="0.25">
      <c r="A81" s="1651"/>
      <c r="B81" s="1665"/>
      <c r="C81" s="1652"/>
      <c r="D81" s="1842"/>
      <c r="E81" s="1538">
        <f t="shared" si="4"/>
        <v>0</v>
      </c>
      <c r="F81" s="193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1">
        <f t="shared" si="5"/>
        <v>0</v>
      </c>
    </row>
    <row r="82" spans="1:7" x14ac:dyDescent="0.25">
      <c r="A82" s="1651"/>
      <c r="B82" s="1665"/>
      <c r="C82" s="1652"/>
      <c r="D82" s="1842"/>
      <c r="E82" s="1538">
        <f t="shared" si="4"/>
        <v>0</v>
      </c>
      <c r="F82" s="1930">
        <f t="shared" si="6"/>
        <v>0</v>
      </c>
      <c r="G82" s="1791">
        <f t="shared" si="5"/>
        <v>0</v>
      </c>
    </row>
    <row r="83" spans="1:7" x14ac:dyDescent="0.25">
      <c r="A83" s="1651"/>
      <c r="B83" s="1665"/>
      <c r="C83" s="1652"/>
      <c r="D83" s="1842"/>
      <c r="E83" s="1538">
        <f t="shared" si="4"/>
        <v>0</v>
      </c>
      <c r="F83" s="1930">
        <f t="shared" si="6"/>
        <v>0</v>
      </c>
      <c r="G83" s="1791">
        <f t="shared" si="5"/>
        <v>0</v>
      </c>
    </row>
    <row r="84" spans="1:7" x14ac:dyDescent="0.25">
      <c r="A84" s="1651"/>
      <c r="B84" s="1665"/>
      <c r="C84" s="1652"/>
      <c r="D84" s="1842"/>
      <c r="E84" s="1538">
        <f t="shared" si="4"/>
        <v>0</v>
      </c>
      <c r="F84" s="1930">
        <f t="shared" si="6"/>
        <v>0</v>
      </c>
      <c r="G84" s="1791">
        <f t="shared" si="5"/>
        <v>0</v>
      </c>
    </row>
    <row r="85" spans="1:7" x14ac:dyDescent="0.25">
      <c r="A85" s="1651"/>
      <c r="B85" s="1665"/>
      <c r="C85" s="1652"/>
      <c r="D85" s="1842"/>
      <c r="E85" s="1538">
        <f t="shared" si="2"/>
        <v>0</v>
      </c>
      <c r="F85" s="1930">
        <f t="shared" si="6"/>
        <v>0</v>
      </c>
      <c r="G85" s="1791">
        <f t="shared" si="3"/>
        <v>0</v>
      </c>
    </row>
    <row r="86" spans="1:7" x14ac:dyDescent="0.25">
      <c r="A86" s="1651"/>
      <c r="B86" s="1665"/>
      <c r="C86" s="1652"/>
      <c r="D86" s="1842"/>
      <c r="E86" s="1538">
        <f t="shared" si="2"/>
        <v>0</v>
      </c>
      <c r="F86" s="1930">
        <f t="shared" si="6"/>
        <v>0</v>
      </c>
      <c r="G86" s="1791">
        <f t="shared" si="3"/>
        <v>0</v>
      </c>
    </row>
    <row r="87" spans="1:7" x14ac:dyDescent="0.25">
      <c r="A87" s="1651"/>
      <c r="B87" s="1665"/>
      <c r="C87" s="1652"/>
      <c r="D87" s="1842"/>
      <c r="E87" s="1538">
        <f t="shared" si="2"/>
        <v>0</v>
      </c>
      <c r="F87" s="1930">
        <f t="shared" si="6"/>
        <v>0</v>
      </c>
      <c r="G87" s="1791">
        <f t="shared" si="3"/>
        <v>0</v>
      </c>
    </row>
    <row r="88" spans="1:7" x14ac:dyDescent="0.25">
      <c r="A88" s="1651"/>
      <c r="B88" s="1665"/>
      <c r="C88" s="1652"/>
      <c r="D88" s="1842"/>
      <c r="E88" s="1538">
        <f t="shared" si="2"/>
        <v>0</v>
      </c>
      <c r="F88" s="1930">
        <f t="shared" si="6"/>
        <v>0</v>
      </c>
      <c r="G88" s="1791">
        <f t="shared" si="3"/>
        <v>0</v>
      </c>
    </row>
    <row r="89" spans="1:7" x14ac:dyDescent="0.25">
      <c r="A89" s="1651"/>
      <c r="B89" s="1665"/>
      <c r="C89" s="1652"/>
      <c r="D89" s="1842"/>
      <c r="E89" s="1538">
        <f t="shared" si="2"/>
        <v>0</v>
      </c>
      <c r="F89" s="1930">
        <f t="shared" si="6"/>
        <v>0</v>
      </c>
      <c r="G89" s="1791">
        <f t="shared" si="3"/>
        <v>0</v>
      </c>
    </row>
    <row r="90" spans="1:7" x14ac:dyDescent="0.25">
      <c r="A90" s="1651"/>
      <c r="B90" s="1665"/>
      <c r="C90" s="1652"/>
      <c r="D90" s="1842"/>
      <c r="E90" s="1538">
        <f t="shared" si="2"/>
        <v>0</v>
      </c>
      <c r="F90" s="1930">
        <f t="shared" si="6"/>
        <v>0</v>
      </c>
      <c r="G90" s="1791">
        <f t="shared" si="3"/>
        <v>0</v>
      </c>
    </row>
    <row r="91" spans="1:7" x14ac:dyDescent="0.25">
      <c r="A91" s="1651"/>
      <c r="B91" s="1665"/>
      <c r="C91" s="1652"/>
      <c r="D91" s="1842"/>
      <c r="E91" s="1538">
        <f t="shared" si="2"/>
        <v>0</v>
      </c>
      <c r="F91" s="1930">
        <f t="shared" si="6"/>
        <v>0</v>
      </c>
      <c r="G91" s="1791">
        <f t="shared" si="3"/>
        <v>0</v>
      </c>
    </row>
    <row r="92" spans="1:7" x14ac:dyDescent="0.25">
      <c r="A92" s="1651"/>
      <c r="B92" s="1665"/>
      <c r="C92" s="1652"/>
      <c r="D92" s="1842"/>
      <c r="E92" s="1538">
        <f t="shared" si="2"/>
        <v>0</v>
      </c>
      <c r="F92" s="1930">
        <f t="shared" si="6"/>
        <v>0</v>
      </c>
      <c r="G92" s="1791">
        <f t="shared" si="3"/>
        <v>0</v>
      </c>
    </row>
    <row r="93" spans="1:7" x14ac:dyDescent="0.25">
      <c r="A93" s="1651"/>
      <c r="B93" s="1665"/>
      <c r="C93" s="1652"/>
      <c r="D93" s="1842"/>
      <c r="E93" s="1538">
        <f t="shared" ref="E93" si="7">IF(D93&lt;=25000,D93,IF(D93&gt;25000,25000,0))</f>
        <v>0</v>
      </c>
      <c r="F93" s="1930">
        <f t="shared" si="6"/>
        <v>0</v>
      </c>
      <c r="G93" s="1791">
        <f t="shared" ref="G93" si="8">IF(F93=0,0,D93-F93)</f>
        <v>0</v>
      </c>
    </row>
    <row r="94" spans="1:7" x14ac:dyDescent="0.25">
      <c r="A94" s="1651"/>
      <c r="B94" s="1665"/>
      <c r="C94" s="1652"/>
      <c r="D94" s="1842"/>
      <c r="E94" s="1538">
        <f t="shared" si="2"/>
        <v>0</v>
      </c>
      <c r="F94" s="1930">
        <f t="shared" si="6"/>
        <v>0</v>
      </c>
      <c r="G94" s="1791">
        <f t="shared" si="3"/>
        <v>0</v>
      </c>
    </row>
    <row r="95" spans="1:7" x14ac:dyDescent="0.25">
      <c r="A95" s="1651"/>
      <c r="B95" s="1665"/>
      <c r="C95" s="1652"/>
      <c r="D95" s="1842"/>
      <c r="E95" s="1538">
        <f t="shared" ref="E95:E98" si="9">IF(D95&lt;=25000,D95,IF(D95&gt;25000,25000,0))</f>
        <v>0</v>
      </c>
      <c r="F95" s="1930">
        <f t="shared" si="6"/>
        <v>0</v>
      </c>
      <c r="G95" s="1791">
        <f t="shared" ref="G95:G98" si="10">IF(F95=0,0,D95-F95)</f>
        <v>0</v>
      </c>
    </row>
    <row r="96" spans="1:7" x14ac:dyDescent="0.25">
      <c r="A96" s="1651"/>
      <c r="B96" s="1665"/>
      <c r="C96" s="1652"/>
      <c r="D96" s="1842"/>
      <c r="E96" s="1538">
        <f t="shared" si="9"/>
        <v>0</v>
      </c>
      <c r="F96" s="1930">
        <f t="shared" si="6"/>
        <v>0</v>
      </c>
      <c r="G96" s="1791">
        <f t="shared" si="10"/>
        <v>0</v>
      </c>
    </row>
    <row r="97" spans="1:7" x14ac:dyDescent="0.25">
      <c r="A97" s="1651"/>
      <c r="B97" s="1665"/>
      <c r="C97" s="1652"/>
      <c r="D97" s="1842"/>
      <c r="E97" s="1538">
        <f t="shared" si="9"/>
        <v>0</v>
      </c>
      <c r="F97" s="1930">
        <f t="shared" si="6"/>
        <v>0</v>
      </c>
      <c r="G97" s="1791">
        <f t="shared" si="10"/>
        <v>0</v>
      </c>
    </row>
    <row r="98" spans="1:7" x14ac:dyDescent="0.25">
      <c r="A98" s="1651"/>
      <c r="B98" s="1665"/>
      <c r="C98" s="1652"/>
      <c r="D98" s="1842"/>
      <c r="E98" s="1538">
        <f t="shared" si="9"/>
        <v>0</v>
      </c>
      <c r="F98" s="1930">
        <f t="shared" si="6"/>
        <v>0</v>
      </c>
      <c r="G98" s="1791">
        <f t="shared" si="10"/>
        <v>0</v>
      </c>
    </row>
    <row r="99" spans="1:7" x14ac:dyDescent="0.25">
      <c r="A99" s="1651"/>
      <c r="B99" s="1665"/>
      <c r="C99" s="1652"/>
      <c r="D99" s="1842"/>
      <c r="E99" s="1538">
        <f t="shared" ref="E99" si="11">IF(D99&lt;=25000,D99,IF(D99&gt;25000,25000,0))</f>
        <v>0</v>
      </c>
      <c r="F99" s="1930">
        <f t="shared" si="6"/>
        <v>0</v>
      </c>
      <c r="G99" s="1791">
        <f t="shared" ref="G99" si="12">IF(F99=0,0,D99-F99)</f>
        <v>0</v>
      </c>
    </row>
    <row r="100" spans="1:7" x14ac:dyDescent="0.25">
      <c r="A100" s="1651"/>
      <c r="B100" s="1665"/>
      <c r="C100" s="1652"/>
      <c r="D100" s="1842"/>
      <c r="E100" s="1538">
        <f t="shared" ref="E100:E112" si="13">IF(D100&lt;=25000,D100,IF(D100&gt;25000,25000,0))</f>
        <v>0</v>
      </c>
      <c r="F100" s="1930">
        <f t="shared" si="6"/>
        <v>0</v>
      </c>
      <c r="G100" s="1791">
        <f t="shared" ref="G100:G112" si="14">IF(F100=0,0,D100-F100)</f>
        <v>0</v>
      </c>
    </row>
    <row r="101" spans="1:7" x14ac:dyDescent="0.25">
      <c r="A101" s="1651"/>
      <c r="B101" s="1665"/>
      <c r="C101" s="1652"/>
      <c r="D101" s="1842"/>
      <c r="E101" s="1538">
        <f t="shared" si="13"/>
        <v>0</v>
      </c>
      <c r="F101" s="1930">
        <f t="shared" si="6"/>
        <v>0</v>
      </c>
      <c r="G101" s="1791">
        <f t="shared" si="14"/>
        <v>0</v>
      </c>
    </row>
    <row r="102" spans="1:7" x14ac:dyDescent="0.25">
      <c r="A102" s="1651"/>
      <c r="B102" s="1665"/>
      <c r="C102" s="1652"/>
      <c r="D102" s="1842"/>
      <c r="E102" s="1538">
        <f t="shared" si="13"/>
        <v>0</v>
      </c>
      <c r="F102" s="1930">
        <f t="shared" si="6"/>
        <v>0</v>
      </c>
      <c r="G102" s="1791">
        <f t="shared" si="14"/>
        <v>0</v>
      </c>
    </row>
    <row r="103" spans="1:7" x14ac:dyDescent="0.25">
      <c r="A103" s="1651"/>
      <c r="B103" s="1665"/>
      <c r="C103" s="1652"/>
      <c r="D103" s="1842"/>
      <c r="E103" s="1538">
        <f t="shared" si="13"/>
        <v>0</v>
      </c>
      <c r="F103" s="1930">
        <f t="shared" si="6"/>
        <v>0</v>
      </c>
      <c r="G103" s="1791">
        <f t="shared" si="14"/>
        <v>0</v>
      </c>
    </row>
    <row r="104" spans="1:7" x14ac:dyDescent="0.25">
      <c r="A104" s="1651"/>
      <c r="B104" s="1665"/>
      <c r="C104" s="1652"/>
      <c r="D104" s="1842"/>
      <c r="E104" s="1538">
        <f t="shared" si="13"/>
        <v>0</v>
      </c>
      <c r="F104" s="1930">
        <f t="shared" si="6"/>
        <v>0</v>
      </c>
      <c r="G104" s="1791">
        <f t="shared" si="14"/>
        <v>0</v>
      </c>
    </row>
    <row r="105" spans="1:7" x14ac:dyDescent="0.25">
      <c r="A105" s="1651"/>
      <c r="B105" s="1665"/>
      <c r="C105" s="1652"/>
      <c r="D105" s="1842"/>
      <c r="E105" s="1538">
        <f t="shared" si="13"/>
        <v>0</v>
      </c>
      <c r="F105" s="1930">
        <f t="shared" si="6"/>
        <v>0</v>
      </c>
      <c r="G105" s="1791">
        <f t="shared" si="14"/>
        <v>0</v>
      </c>
    </row>
    <row r="106" spans="1:7" x14ac:dyDescent="0.25">
      <c r="A106" s="1651"/>
      <c r="B106" s="1665"/>
      <c r="C106" s="1652"/>
      <c r="D106" s="1842"/>
      <c r="E106" s="1538">
        <f t="shared" si="13"/>
        <v>0</v>
      </c>
      <c r="F106" s="1930">
        <f t="shared" si="6"/>
        <v>0</v>
      </c>
      <c r="G106" s="1791">
        <f t="shared" si="14"/>
        <v>0</v>
      </c>
    </row>
    <row r="107" spans="1:7" x14ac:dyDescent="0.25">
      <c r="A107" s="1651"/>
      <c r="B107" s="1665"/>
      <c r="C107" s="1652"/>
      <c r="D107" s="1842"/>
      <c r="E107" s="1538">
        <f t="shared" si="13"/>
        <v>0</v>
      </c>
      <c r="F107" s="1930">
        <f t="shared" si="6"/>
        <v>0</v>
      </c>
      <c r="G107" s="1791">
        <f t="shared" si="14"/>
        <v>0</v>
      </c>
    </row>
    <row r="108" spans="1:7" x14ac:dyDescent="0.25">
      <c r="A108" s="1651"/>
      <c r="B108" s="1665"/>
      <c r="C108" s="1652"/>
      <c r="D108" s="1842"/>
      <c r="E108" s="1538">
        <f t="shared" si="13"/>
        <v>0</v>
      </c>
      <c r="F108" s="1930">
        <f t="shared" si="6"/>
        <v>0</v>
      </c>
      <c r="G108" s="1791">
        <f t="shared" si="14"/>
        <v>0</v>
      </c>
    </row>
    <row r="109" spans="1:7" x14ac:dyDescent="0.25">
      <c r="A109" s="1651"/>
      <c r="B109" s="1665"/>
      <c r="C109" s="1652"/>
      <c r="D109" s="1842"/>
      <c r="E109" s="1538">
        <f t="shared" si="13"/>
        <v>0</v>
      </c>
      <c r="F109" s="1930">
        <f t="shared" si="6"/>
        <v>0</v>
      </c>
      <c r="G109" s="1791">
        <f t="shared" si="14"/>
        <v>0</v>
      </c>
    </row>
    <row r="110" spans="1:7" x14ac:dyDescent="0.25">
      <c r="A110" s="1651"/>
      <c r="B110" s="1665"/>
      <c r="C110" s="1652"/>
      <c r="D110" s="1842"/>
      <c r="E110" s="1538">
        <f t="shared" si="13"/>
        <v>0</v>
      </c>
      <c r="F110" s="1930">
        <f t="shared" si="6"/>
        <v>0</v>
      </c>
      <c r="G110" s="1791">
        <f t="shared" si="14"/>
        <v>0</v>
      </c>
    </row>
    <row r="111" spans="1:7" x14ac:dyDescent="0.25">
      <c r="A111" s="1651"/>
      <c r="B111" s="1665"/>
      <c r="C111" s="1652"/>
      <c r="D111" s="1842"/>
      <c r="E111" s="1538">
        <f t="shared" si="13"/>
        <v>0</v>
      </c>
      <c r="F111" s="1930">
        <f t="shared" si="6"/>
        <v>0</v>
      </c>
      <c r="G111" s="1791">
        <f t="shared" si="14"/>
        <v>0</v>
      </c>
    </row>
    <row r="112" spans="1:7" x14ac:dyDescent="0.25">
      <c r="A112" s="1651"/>
      <c r="B112" s="1665"/>
      <c r="C112" s="1652"/>
      <c r="D112" s="1842"/>
      <c r="E112" s="1538">
        <f t="shared" si="13"/>
        <v>0</v>
      </c>
      <c r="F112" s="1930">
        <f t="shared" si="6"/>
        <v>0</v>
      </c>
      <c r="G112" s="1791">
        <f t="shared" si="14"/>
        <v>0</v>
      </c>
    </row>
    <row r="113" spans="1:7" x14ac:dyDescent="0.25">
      <c r="A113" s="1651"/>
      <c r="B113" s="1665"/>
      <c r="C113" s="1652"/>
      <c r="D113" s="1842"/>
      <c r="E113" s="1538">
        <f t="shared" ref="E113:E125" si="15">IF(D113&lt;=25000,D113,IF(D113&gt;25000,25000,0))</f>
        <v>0</v>
      </c>
      <c r="F113" s="1930">
        <f t="shared" si="6"/>
        <v>0</v>
      </c>
      <c r="G113" s="1791">
        <f t="shared" ref="G113:G125" si="16">IF(F113=0,0,D113-F113)</f>
        <v>0</v>
      </c>
    </row>
    <row r="114" spans="1:7" x14ac:dyDescent="0.25">
      <c r="A114" s="1651"/>
      <c r="B114" s="1665"/>
      <c r="C114" s="1652"/>
      <c r="D114" s="1842"/>
      <c r="E114" s="1538">
        <f t="shared" si="15"/>
        <v>0</v>
      </c>
      <c r="F114" s="1930">
        <f t="shared" si="6"/>
        <v>0</v>
      </c>
      <c r="G114" s="1791">
        <f t="shared" si="16"/>
        <v>0</v>
      </c>
    </row>
    <row r="115" spans="1:7" x14ac:dyDescent="0.25">
      <c r="A115" s="1651"/>
      <c r="B115" s="1665"/>
      <c r="C115" s="1652"/>
      <c r="D115" s="1842"/>
      <c r="E115" s="1538">
        <f t="shared" si="15"/>
        <v>0</v>
      </c>
      <c r="F115" s="1930">
        <f t="shared" si="6"/>
        <v>0</v>
      </c>
      <c r="G115" s="1791">
        <f t="shared" si="16"/>
        <v>0</v>
      </c>
    </row>
    <row r="116" spans="1:7" x14ac:dyDescent="0.25">
      <c r="A116" s="1651"/>
      <c r="B116" s="1665"/>
      <c r="C116" s="1652"/>
      <c r="D116" s="1842"/>
      <c r="E116" s="1538">
        <f t="shared" si="15"/>
        <v>0</v>
      </c>
      <c r="F116" s="1930">
        <f t="shared" si="6"/>
        <v>0</v>
      </c>
      <c r="G116" s="1791">
        <f t="shared" si="16"/>
        <v>0</v>
      </c>
    </row>
    <row r="117" spans="1:7" x14ac:dyDescent="0.25">
      <c r="A117" s="1651"/>
      <c r="B117" s="1665"/>
      <c r="C117" s="1652"/>
      <c r="D117" s="1842"/>
      <c r="E117" s="1538">
        <f t="shared" si="15"/>
        <v>0</v>
      </c>
      <c r="F117" s="1930">
        <f t="shared" si="6"/>
        <v>0</v>
      </c>
      <c r="G117" s="1791">
        <f t="shared" si="16"/>
        <v>0</v>
      </c>
    </row>
    <row r="118" spans="1:7" x14ac:dyDescent="0.25">
      <c r="A118" s="1651"/>
      <c r="B118" s="1665"/>
      <c r="C118" s="1652"/>
      <c r="D118" s="1842"/>
      <c r="E118" s="1538">
        <f t="shared" si="15"/>
        <v>0</v>
      </c>
      <c r="F118" s="1930">
        <f t="shared" si="6"/>
        <v>0</v>
      </c>
      <c r="G118" s="1791">
        <f t="shared" si="16"/>
        <v>0</v>
      </c>
    </row>
    <row r="119" spans="1:7" x14ac:dyDescent="0.25">
      <c r="A119" s="1651"/>
      <c r="B119" s="1665"/>
      <c r="C119" s="1652"/>
      <c r="D119" s="1842"/>
      <c r="E119" s="1538">
        <f t="shared" si="15"/>
        <v>0</v>
      </c>
      <c r="F119" s="1930">
        <f t="shared" si="6"/>
        <v>0</v>
      </c>
      <c r="G119" s="1791">
        <f t="shared" si="16"/>
        <v>0</v>
      </c>
    </row>
    <row r="120" spans="1:7" x14ac:dyDescent="0.25">
      <c r="A120" s="1651"/>
      <c r="B120" s="1665"/>
      <c r="C120" s="1652"/>
      <c r="D120" s="1842"/>
      <c r="E120" s="1538">
        <f t="shared" si="15"/>
        <v>0</v>
      </c>
      <c r="F120" s="1930">
        <f t="shared" si="6"/>
        <v>0</v>
      </c>
      <c r="G120" s="1791">
        <f t="shared" si="16"/>
        <v>0</v>
      </c>
    </row>
    <row r="121" spans="1:7" x14ac:dyDescent="0.25">
      <c r="A121" s="1651"/>
      <c r="B121" s="1665"/>
      <c r="C121" s="1652"/>
      <c r="D121" s="1842"/>
      <c r="E121" s="1538">
        <f t="shared" si="15"/>
        <v>0</v>
      </c>
      <c r="F121" s="1930">
        <f t="shared" si="6"/>
        <v>0</v>
      </c>
      <c r="G121" s="1791">
        <f t="shared" si="16"/>
        <v>0</v>
      </c>
    </row>
    <row r="122" spans="1:7" x14ac:dyDescent="0.25">
      <c r="A122" s="1651"/>
      <c r="B122" s="1665"/>
      <c r="C122" s="1652"/>
      <c r="D122" s="1842"/>
      <c r="E122" s="1538">
        <f t="shared" si="15"/>
        <v>0</v>
      </c>
      <c r="F122" s="1930">
        <f t="shared" si="6"/>
        <v>0</v>
      </c>
      <c r="G122" s="1791">
        <f t="shared" si="16"/>
        <v>0</v>
      </c>
    </row>
    <row r="123" spans="1:7" x14ac:dyDescent="0.25">
      <c r="A123" s="1651"/>
      <c r="B123" s="1665"/>
      <c r="C123" s="1652"/>
      <c r="D123" s="1842"/>
      <c r="E123" s="1538">
        <f t="shared" si="15"/>
        <v>0</v>
      </c>
      <c r="F123" s="1930">
        <f t="shared" si="6"/>
        <v>0</v>
      </c>
      <c r="G123" s="1791">
        <f t="shared" si="16"/>
        <v>0</v>
      </c>
    </row>
    <row r="124" spans="1:7" x14ac:dyDescent="0.25">
      <c r="A124" s="1651"/>
      <c r="B124" s="1665"/>
      <c r="C124" s="1652"/>
      <c r="D124" s="1842"/>
      <c r="E124" s="1538">
        <f t="shared" si="15"/>
        <v>0</v>
      </c>
      <c r="F124" s="1930">
        <f t="shared" si="6"/>
        <v>0</v>
      </c>
      <c r="G124" s="1791">
        <f t="shared" si="16"/>
        <v>0</v>
      </c>
    </row>
    <row r="125" spans="1:7" x14ac:dyDescent="0.25">
      <c r="A125" s="1651"/>
      <c r="B125" s="1665"/>
      <c r="C125" s="1652"/>
      <c r="D125" s="1842"/>
      <c r="E125" s="1538">
        <f t="shared" si="15"/>
        <v>0</v>
      </c>
      <c r="F125" s="1930">
        <f t="shared" si="6"/>
        <v>0</v>
      </c>
      <c r="G125" s="1791">
        <f t="shared" si="16"/>
        <v>0</v>
      </c>
    </row>
    <row r="126" spans="1:7" x14ac:dyDescent="0.25">
      <c r="A126" s="1651"/>
      <c r="B126" s="1665"/>
      <c r="C126" s="1652"/>
      <c r="D126" s="1842"/>
      <c r="E126" s="1538">
        <f t="shared" ref="E126:E134" si="17">IF(D126&lt;=25000,D126,IF(D126&gt;25000,25000,0))</f>
        <v>0</v>
      </c>
      <c r="F126" s="1930">
        <f t="shared" si="6"/>
        <v>0</v>
      </c>
      <c r="G126" s="1791">
        <f t="shared" ref="G126:G134" si="18">IF(F126=0,0,D126-F126)</f>
        <v>0</v>
      </c>
    </row>
    <row r="127" spans="1:7" x14ac:dyDescent="0.25">
      <c r="A127" s="1651"/>
      <c r="B127" s="1665"/>
      <c r="C127" s="1652"/>
      <c r="D127" s="1842"/>
      <c r="E127" s="1538">
        <f t="shared" si="17"/>
        <v>0</v>
      </c>
      <c r="F127" s="1930">
        <f t="shared" si="6"/>
        <v>0</v>
      </c>
      <c r="G127" s="1791">
        <f t="shared" si="18"/>
        <v>0</v>
      </c>
    </row>
    <row r="128" spans="1:7" x14ac:dyDescent="0.25">
      <c r="A128" s="1651"/>
      <c r="B128" s="1665"/>
      <c r="C128" s="1652"/>
      <c r="D128" s="1842"/>
      <c r="E128" s="1538">
        <f t="shared" si="17"/>
        <v>0</v>
      </c>
      <c r="F128" s="1930">
        <f t="shared" si="6"/>
        <v>0</v>
      </c>
      <c r="G128" s="1791">
        <f t="shared" si="18"/>
        <v>0</v>
      </c>
    </row>
    <row r="129" spans="1:7" x14ac:dyDescent="0.25">
      <c r="A129" s="1651"/>
      <c r="B129" s="1665"/>
      <c r="C129" s="1652"/>
      <c r="D129" s="1842"/>
      <c r="E129" s="1538">
        <f t="shared" si="17"/>
        <v>0</v>
      </c>
      <c r="F129" s="1930">
        <f t="shared" si="6"/>
        <v>0</v>
      </c>
      <c r="G129" s="1791">
        <f t="shared" si="18"/>
        <v>0</v>
      </c>
    </row>
    <row r="130" spans="1:7" x14ac:dyDescent="0.25">
      <c r="A130" s="1651"/>
      <c r="B130" s="1665"/>
      <c r="C130" s="1652"/>
      <c r="D130" s="1842"/>
      <c r="E130" s="1538">
        <f t="shared" si="17"/>
        <v>0</v>
      </c>
      <c r="F130" s="1930">
        <f t="shared" si="6"/>
        <v>0</v>
      </c>
      <c r="G130" s="1791">
        <f t="shared" si="18"/>
        <v>0</v>
      </c>
    </row>
    <row r="131" spans="1:7" x14ac:dyDescent="0.25">
      <c r="A131" s="1651"/>
      <c r="B131" s="1835"/>
      <c r="C131" s="1652"/>
      <c r="D131" s="1842"/>
      <c r="E131" s="1538">
        <f t="shared" si="17"/>
        <v>0</v>
      </c>
      <c r="F131" s="1930">
        <f t="shared" si="6"/>
        <v>0</v>
      </c>
      <c r="G131" s="1791">
        <f t="shared" si="18"/>
        <v>0</v>
      </c>
    </row>
    <row r="132" spans="1:7" x14ac:dyDescent="0.25">
      <c r="A132" s="1651"/>
      <c r="B132" s="1835"/>
      <c r="C132" s="1652"/>
      <c r="D132" s="1842"/>
      <c r="E132" s="1538">
        <f t="shared" si="17"/>
        <v>0</v>
      </c>
      <c r="F132" s="1930">
        <f t="shared" si="6"/>
        <v>0</v>
      </c>
      <c r="G132" s="1791">
        <f t="shared" si="18"/>
        <v>0</v>
      </c>
    </row>
    <row r="133" spans="1:7" x14ac:dyDescent="0.25">
      <c r="A133" s="1651"/>
      <c r="B133" s="1665"/>
      <c r="C133" s="1652"/>
      <c r="D133" s="1842"/>
      <c r="E133" s="1538">
        <f t="shared" si="17"/>
        <v>0</v>
      </c>
      <c r="F133" s="1930">
        <f t="shared" si="6"/>
        <v>0</v>
      </c>
      <c r="G133" s="1791">
        <f t="shared" si="18"/>
        <v>0</v>
      </c>
    </row>
    <row r="134" spans="1:7" x14ac:dyDescent="0.25">
      <c r="A134" s="1651"/>
      <c r="B134" s="1665"/>
      <c r="C134" s="1652"/>
      <c r="D134" s="1842"/>
      <c r="E134" s="1538">
        <f t="shared" si="17"/>
        <v>0</v>
      </c>
      <c r="F134" s="1930">
        <f t="shared" si="6"/>
        <v>0</v>
      </c>
      <c r="G134" s="1791">
        <f t="shared" si="18"/>
        <v>0</v>
      </c>
    </row>
    <row r="135" spans="1:7" x14ac:dyDescent="0.25">
      <c r="A135" s="1651"/>
      <c r="B135" s="1665"/>
      <c r="C135" s="1652"/>
      <c r="D135" s="1842"/>
      <c r="E135" s="1538">
        <f t="shared" ref="E135:E139" si="19">IF(D135&lt;=25000,D135,IF(D135&gt;25000,25000,0))</f>
        <v>0</v>
      </c>
      <c r="F135" s="1930">
        <f t="shared" si="6"/>
        <v>0</v>
      </c>
      <c r="G135" s="1791">
        <f t="shared" ref="G135:G139" si="20">IF(F135=0,0,D135-F135)</f>
        <v>0</v>
      </c>
    </row>
    <row r="136" spans="1:7" x14ac:dyDescent="0.25">
      <c r="A136" s="1651"/>
      <c r="B136" s="1665"/>
      <c r="C136" s="1652"/>
      <c r="D136" s="1842"/>
      <c r="E136" s="1538">
        <f t="shared" si="19"/>
        <v>0</v>
      </c>
      <c r="F136" s="1930">
        <f t="shared" si="6"/>
        <v>0</v>
      </c>
      <c r="G136" s="1791">
        <f t="shared" si="20"/>
        <v>0</v>
      </c>
    </row>
    <row r="137" spans="1:7" x14ac:dyDescent="0.25">
      <c r="A137" s="1651"/>
      <c r="B137" s="1665"/>
      <c r="C137" s="1652"/>
      <c r="D137" s="1842"/>
      <c r="E137" s="1538">
        <f t="shared" si="19"/>
        <v>0</v>
      </c>
      <c r="F137" s="1930">
        <f t="shared" si="6"/>
        <v>0</v>
      </c>
      <c r="G137" s="1791">
        <f t="shared" si="20"/>
        <v>0</v>
      </c>
    </row>
    <row r="138" spans="1:7" x14ac:dyDescent="0.25">
      <c r="A138" s="1651"/>
      <c r="B138" s="1665"/>
      <c r="C138" s="1652"/>
      <c r="D138" s="1842"/>
      <c r="E138" s="1538">
        <f t="shared" si="19"/>
        <v>0</v>
      </c>
      <c r="F138" s="1930">
        <f t="shared" si="6"/>
        <v>0</v>
      </c>
      <c r="G138" s="1791">
        <f t="shared" si="20"/>
        <v>0</v>
      </c>
    </row>
    <row r="139" spans="1:7" x14ac:dyDescent="0.25">
      <c r="A139" s="1651"/>
      <c r="B139" s="1665"/>
      <c r="C139" s="1652"/>
      <c r="D139" s="1842"/>
      <c r="E139" s="1538">
        <f t="shared" si="19"/>
        <v>0</v>
      </c>
      <c r="F139" s="1930">
        <f t="shared" si="6"/>
        <v>0</v>
      </c>
      <c r="G139" s="1791">
        <f t="shared" si="20"/>
        <v>0</v>
      </c>
    </row>
    <row r="140" spans="1:7" x14ac:dyDescent="0.25">
      <c r="A140" s="1651"/>
      <c r="B140" s="1664"/>
      <c r="C140" s="1652"/>
      <c r="D140" s="1842"/>
      <c r="E140" s="1538">
        <f t="shared" si="2"/>
        <v>0</v>
      </c>
      <c r="F140" s="1930">
        <f t="shared" si="6"/>
        <v>0</v>
      </c>
      <c r="G140" s="1791">
        <f t="shared" si="3"/>
        <v>0</v>
      </c>
    </row>
    <row r="141" spans="1:7" x14ac:dyDescent="0.25">
      <c r="A141" s="1794" t="s">
        <v>156</v>
      </c>
      <c r="B141" s="1795"/>
      <c r="C141" s="1796"/>
      <c r="D141" s="1792">
        <f>SUM(D17:D140)</f>
        <v>196432</v>
      </c>
      <c r="E141" s="1539">
        <f t="shared" si="0"/>
        <v>25000</v>
      </c>
      <c r="F141" s="1931">
        <f>SUM(F17:F140)</f>
        <v>110967</v>
      </c>
      <c r="G141" s="1793">
        <f>SUM(G17:G140)</f>
        <v>85465</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I46"/>
  <sheetViews>
    <sheetView showGridLines="0" defaultGridColor="0" topLeftCell="A4"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4" t="s">
        <v>1679</v>
      </c>
      <c r="B5" s="2285"/>
      <c r="C5" s="2285"/>
      <c r="D5" s="2285"/>
      <c r="E5" s="2285"/>
      <c r="F5" s="2285"/>
      <c r="G5" s="2286"/>
      <c r="H5" s="252"/>
      <c r="I5" s="609"/>
    </row>
    <row r="6" spans="1:9" s="668" customFormat="1" x14ac:dyDescent="0.2">
      <c r="A6" s="1635"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c r="F10" s="974"/>
      <c r="G10" s="975"/>
      <c r="H10" s="162"/>
      <c r="I10" s="162"/>
    </row>
    <row r="11" spans="1:9" s="668" customFormat="1" ht="22.5" customHeight="1" x14ac:dyDescent="0.2">
      <c r="A11" s="2289" t="s">
        <v>1972</v>
      </c>
      <c r="B11" s="2290"/>
      <c r="C11" s="2290"/>
      <c r="D11" s="2291"/>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6" t="s">
        <v>532</v>
      </c>
      <c r="E17" s="1637"/>
      <c r="F17" s="1636" t="s">
        <v>433</v>
      </c>
      <c r="G17" s="1638"/>
      <c r="H17" s="162"/>
      <c r="I17" s="162"/>
    </row>
    <row r="18" spans="1:9" s="259" customFormat="1" ht="11.25" x14ac:dyDescent="0.2">
      <c r="A18" s="988"/>
      <c r="C18" s="989" t="s">
        <v>434</v>
      </c>
      <c r="D18" s="1639" t="s">
        <v>435</v>
      </c>
      <c r="E18" s="1639" t="s">
        <v>53</v>
      </c>
      <c r="F18" s="1639" t="s">
        <v>435</v>
      </c>
      <c r="G18" s="1639"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6821836</v>
      </c>
      <c r="F19" s="1797"/>
      <c r="G19" s="1799">
        <f>'Expenditures 15-22'!K33-SUM('Expenditures 15-22'!G33,'Expenditures 15-22'!I33)+'Expenditures 15-22'!D229</f>
        <v>6821836</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1326199</v>
      </c>
      <c r="F21" s="1800"/>
      <c r="G21" s="1803">
        <f>'Expenditures 15-22'!K42-SUM('Expenditures 15-22'!G42,'Expenditures 15-22'!I42)+'Expenditures 15-22'!K120-SUM('Expenditures 15-22'!G120,'Expenditures 15-22'!I120)+'Expenditures 15-22'!K180-SUM('Expenditures 15-22'!G180,'Expenditures 15-22'!I180)+'Expenditures 15-22'!D238</f>
        <v>1326199</v>
      </c>
      <c r="H21" s="987"/>
      <c r="I21" s="162"/>
    </row>
    <row r="22" spans="1:9" s="668" customFormat="1" ht="12" customHeight="1" x14ac:dyDescent="0.2">
      <c r="A22" s="994" t="s">
        <v>564</v>
      </c>
      <c r="B22" s="995"/>
      <c r="C22" s="993">
        <v>2200</v>
      </c>
      <c r="D22" s="1800"/>
      <c r="E22" s="1802">
        <f>'Expenditures 15-22'!K47-SUM('Expenditures 15-22'!G47,'Expenditures 15-22'!I47)+'Expenditures 15-22'!D243</f>
        <v>294368</v>
      </c>
      <c r="F22" s="1800"/>
      <c r="G22" s="1803">
        <f>'Expenditures 15-22'!K47-SUM('Expenditures 15-22'!G47,'Expenditures 15-22'!I47)+'Expenditures 15-22'!D243</f>
        <v>294368</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782000</v>
      </c>
      <c r="F23" s="1800"/>
      <c r="G23" s="1802">
        <f>'Expenditures 15-22'!K53-SUM('Expenditures 15-22'!G53,'Expenditures 15-22'!I53)+'Expenditures 15-22'!D257+'Expenditures 15-22'!K330-SUM('Expenditures 15-22'!G330,'Expenditures 15-22'!I330)</f>
        <v>782000</v>
      </c>
      <c r="H23" s="987"/>
      <c r="I23" s="162"/>
    </row>
    <row r="24" spans="1:9" s="668" customFormat="1" ht="12" customHeight="1" x14ac:dyDescent="0.2">
      <c r="A24" s="994" t="s">
        <v>566</v>
      </c>
      <c r="B24" s="995"/>
      <c r="C24" s="993">
        <v>2400</v>
      </c>
      <c r="D24" s="1800"/>
      <c r="E24" s="1802">
        <f>'Expenditures 15-22'!K57-SUM('Expenditures 15-22'!G57,'Expenditures 15-22'!I57)+'Expenditures 15-22'!D261</f>
        <v>0</v>
      </c>
      <c r="F24" s="1800"/>
      <c r="G24" s="1803">
        <f>'Expenditures 15-22'!K57-SUM('Expenditures 15-22'!G57,'Expenditures 15-22'!I57)+'Expenditures 15-22'!D261</f>
        <v>0</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131321</v>
      </c>
      <c r="E27" s="1802">
        <f>E8</f>
        <v>0</v>
      </c>
      <c r="F27" s="1802">
        <f>'Expenditures 15-22'!K60-SUM('Expenditures 15-22'!G60,'Expenditures 15-22'!I60)+'Expenditures 15-22'!D264-E8</f>
        <v>131321</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56665</v>
      </c>
      <c r="F28" s="1804">
        <f>'Expenditures 15-22'!K61-SUM('Expenditures 15-22'!G61,'Expenditures 15-22'!I61)+'Expenditures 15-22'!K124-SUM('Expenditures 15-22'!G124,'Expenditures 15-22'!I124)+'Expenditures 15-22'!D266-E9</f>
        <v>56665</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0</v>
      </c>
      <c r="F29" s="1800"/>
      <c r="G29" s="1803">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0"/>
      <c r="E30" s="1802">
        <f>'Expenditures 15-22'!K63-SUM('Expenditures 15-22'!G63,'Expenditures 15-22'!I63)+'Expenditures 15-22'!D268-E10</f>
        <v>0</v>
      </c>
      <c r="F30" s="1800"/>
      <c r="G30" s="1802">
        <f>'Expenditures 15-22'!K63-SUM('Expenditures 15-22'!G63,'Expenditures 15-22'!I63)+'Expenditures 15-22'!D268-E10</f>
        <v>0</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1061</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403</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404</v>
      </c>
      <c r="B37" s="997"/>
      <c r="C37" s="993">
        <v>2660</v>
      </c>
      <c r="D37" s="1802">
        <f>'Expenditures 15-22'!K71-SUM('Expenditures 15-22'!G71,'Expenditures 15-22'!I71)+'Expenditures 15-22'!D276-E14</f>
        <v>27230</v>
      </c>
      <c r="E37" s="1802">
        <f>E14</f>
        <v>0</v>
      </c>
      <c r="F37" s="1802">
        <f>'Expenditures 15-22'!K71-SUM('Expenditures 15-22'!G71,'Expenditures 15-22'!I71)+'Expenditures 15-22'!D276-E14</f>
        <v>27230</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37996</v>
      </c>
      <c r="F38" s="1800"/>
      <c r="G38" s="1802">
        <f>'Expenditures 15-22'!K73-SUM('Expenditures 15-22'!G73,'Expenditures 15-22'!I73)+'Expenditures 15-22'!K128-SUM('Expenditures 15-22'!G128,'Expenditures 15-22'!I128)+'Expenditures 15-22'!K183-SUM('Expenditures 15-22'!G183,'Expenditures 15-22'!I183)+'Expenditures 15-22'!D278</f>
        <v>37996</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0</v>
      </c>
      <c r="F39" s="1800"/>
      <c r="G39" s="180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1820</v>
      </c>
      <c r="B40" s="991"/>
      <c r="C40" s="993"/>
      <c r="D40" s="1800"/>
      <c r="E40" s="1804">
        <f>-'Contracts Paid in CY 29'!G141</f>
        <v>-85465</v>
      </c>
      <c r="F40" s="1800"/>
      <c r="G40" s="1804">
        <f>-'Contracts Paid in CY 29'!G141</f>
        <v>-85465</v>
      </c>
    </row>
    <row r="41" spans="1:7" ht="12" customHeight="1" x14ac:dyDescent="0.2">
      <c r="A41" s="998" t="s">
        <v>156</v>
      </c>
      <c r="B41" s="999"/>
      <c r="C41" s="1000"/>
      <c r="D41" s="1804">
        <f>SUM(D19:D39)</f>
        <v>158551</v>
      </c>
      <c r="E41" s="1804">
        <f>SUM(E19:E40)</f>
        <v>9233599</v>
      </c>
      <c r="F41" s="1804">
        <f>SUM(F19:F39)</f>
        <v>215216</v>
      </c>
      <c r="G41" s="1804">
        <f>SUM(G19:G40)</f>
        <v>9176934</v>
      </c>
    </row>
    <row r="42" spans="1:7" x14ac:dyDescent="0.2">
      <c r="A42" s="987"/>
      <c r="B42" s="162"/>
      <c r="C42" s="1001"/>
      <c r="D42" s="2287" t="s">
        <v>522</v>
      </c>
      <c r="E42" s="2288"/>
      <c r="F42" s="1002" t="s">
        <v>523</v>
      </c>
      <c r="G42" s="1003"/>
    </row>
    <row r="43" spans="1:7" ht="12" customHeight="1" x14ac:dyDescent="0.2">
      <c r="A43" s="987"/>
      <c r="B43" s="162"/>
      <c r="C43" s="1001"/>
      <c r="D43" s="1805" t="s">
        <v>473</v>
      </c>
      <c r="E43" s="1806">
        <f>D41</f>
        <v>158551</v>
      </c>
      <c r="F43" s="1805" t="s">
        <v>473</v>
      </c>
      <c r="G43" s="1806">
        <f>F41</f>
        <v>215216</v>
      </c>
    </row>
    <row r="44" spans="1:7" ht="12" customHeight="1" x14ac:dyDescent="0.2">
      <c r="A44" s="987"/>
      <c r="B44" s="162"/>
      <c r="C44" s="1001"/>
      <c r="D44" s="1805" t="s">
        <v>474</v>
      </c>
      <c r="E44" s="1806">
        <f>E41</f>
        <v>9233599</v>
      </c>
      <c r="F44" s="1805" t="s">
        <v>474</v>
      </c>
      <c r="G44" s="1806">
        <f>G41</f>
        <v>9176934</v>
      </c>
    </row>
    <row r="45" spans="1:7" ht="12" customHeight="1" x14ac:dyDescent="0.2">
      <c r="A45" s="987"/>
      <c r="B45" s="162"/>
      <c r="C45" s="162"/>
      <c r="D45" s="1807" t="s">
        <v>1006</v>
      </c>
      <c r="E45" s="1808">
        <f>(E43/E44)</f>
        <v>1.7171094391255241E-2</v>
      </c>
      <c r="F45" s="1807" t="s">
        <v>1006</v>
      </c>
      <c r="G45" s="1808">
        <f>(G43/G44)</f>
        <v>2.3451841323038826E-2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pageSetUpPr fitToPage="1"/>
  </sheetPr>
  <dimension ref="A1:L97"/>
  <sheetViews>
    <sheetView showGridLines="0" zoomScale="110" zoomScaleNormal="110" workbookViewId="0">
      <pane ySplit="4" topLeftCell="A31" activePane="bottomLeft" state="frozen"/>
      <selection activeCell="A47" sqref="A47"/>
      <selection pane="bottomLeft" activeCell="A42" sqref="A42:F42"/>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295" t="s">
        <v>1379</v>
      </c>
      <c r="B1" s="2295"/>
      <c r="C1" s="2295"/>
      <c r="D1" s="2295"/>
      <c r="E1" s="2295"/>
      <c r="F1" s="2295"/>
    </row>
    <row r="2" spans="1:10" x14ac:dyDescent="0.2">
      <c r="A2" s="1885" t="s">
        <v>1908</v>
      </c>
      <c r="B2" s="1846"/>
      <c r="C2" s="1885"/>
      <c r="D2" s="1846"/>
      <c r="E2" s="1846"/>
      <c r="F2" s="1847"/>
    </row>
    <row r="3" spans="1:10" x14ac:dyDescent="0.2">
      <c r="A3" s="1885" t="s">
        <v>1973</v>
      </c>
      <c r="B3" s="1846"/>
      <c r="C3" s="1885"/>
      <c r="D3" s="1846"/>
      <c r="E3" s="1846"/>
      <c r="F3" s="1847"/>
    </row>
    <row r="4" spans="1:10" ht="3.75" customHeight="1" x14ac:dyDescent="0.2">
      <c r="A4" s="1846"/>
      <c r="B4" s="1846"/>
      <c r="C4" s="1846"/>
      <c r="D4" s="1846"/>
      <c r="E4" s="1846"/>
      <c r="F4" s="1847"/>
    </row>
    <row r="5" spans="1:10" ht="15" x14ac:dyDescent="0.25">
      <c r="A5" s="2296" t="s">
        <v>1546</v>
      </c>
      <c r="B5" s="2297"/>
      <c r="C5" s="2298"/>
      <c r="D5" s="2298"/>
      <c r="E5" s="2298"/>
      <c r="F5" s="2298"/>
    </row>
    <row r="6" spans="1:10" ht="12" customHeight="1" x14ac:dyDescent="0.25">
      <c r="A6" s="1848"/>
      <c r="B6" s="1849"/>
      <c r="C6" s="2299" t="str">
        <f>COVER!A17</f>
        <v>Grundy County Spec Educ Coop</v>
      </c>
      <c r="D6" s="2299"/>
      <c r="E6" s="2299"/>
      <c r="F6" s="1850"/>
    </row>
    <row r="7" spans="1:10" ht="11.25" customHeight="1" thickBot="1" x14ac:dyDescent="0.3">
      <c r="A7" s="1848"/>
      <c r="B7" s="1849"/>
      <c r="C7" s="2300">
        <f>COVER!A13</f>
        <v>24032101061</v>
      </c>
      <c r="D7" s="2300"/>
      <c r="E7" s="2300"/>
      <c r="F7" s="1850"/>
    </row>
    <row r="8" spans="1:10" ht="25.5" customHeight="1" thickBot="1" x14ac:dyDescent="0.25">
      <c r="A8" s="1891" t="s">
        <v>1904</v>
      </c>
      <c r="B8" s="1851"/>
      <c r="C8" s="1887" t="s">
        <v>1681</v>
      </c>
      <c r="D8" s="1886" t="s">
        <v>1682</v>
      </c>
      <c r="E8" s="1888" t="s">
        <v>1380</v>
      </c>
      <c r="F8" s="1886" t="s">
        <v>1683</v>
      </c>
      <c r="H8" s="1852" t="b">
        <v>0</v>
      </c>
    </row>
    <row r="9" spans="1:10" ht="15.75" customHeight="1" x14ac:dyDescent="0.2">
      <c r="A9" s="1853" t="s">
        <v>1542</v>
      </c>
      <c r="B9" s="1854"/>
      <c r="C9" s="1855"/>
      <c r="D9" s="1855"/>
      <c r="E9" s="1856"/>
      <c r="F9" s="1857"/>
    </row>
    <row r="10" spans="1:10" ht="27.75" customHeight="1" x14ac:dyDescent="0.2">
      <c r="A10" s="1858" t="s">
        <v>1680</v>
      </c>
      <c r="B10" s="1859"/>
      <c r="C10" s="1860"/>
      <c r="D10" s="1860"/>
      <c r="E10" s="1889" t="s">
        <v>1381</v>
      </c>
      <c r="F10" s="1890" t="s">
        <v>1382</v>
      </c>
    </row>
    <row r="11" spans="1:10" ht="12" customHeight="1" x14ac:dyDescent="0.2">
      <c r="A11" s="1861" t="s">
        <v>1383</v>
      </c>
      <c r="B11" s="1862"/>
      <c r="C11" s="1863"/>
      <c r="D11" s="1863"/>
      <c r="E11" s="1864"/>
      <c r="F11" s="1865"/>
      <c r="H11" s="1876">
        <f>IF(C11="X",5,0)</f>
        <v>0</v>
      </c>
      <c r="I11" s="1876">
        <f>IF(D11="X",5,0)</f>
        <v>0</v>
      </c>
      <c r="J11" s="1876">
        <f>IF(E11="X",5,0)</f>
        <v>0</v>
      </c>
    </row>
    <row r="12" spans="1:10" ht="12" customHeight="1" x14ac:dyDescent="0.2">
      <c r="A12" s="1861" t="s">
        <v>1384</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1385</v>
      </c>
      <c r="B13" s="1862"/>
      <c r="C13" s="1863"/>
      <c r="D13" s="1863"/>
      <c r="E13" s="1866"/>
      <c r="F13" s="1865"/>
      <c r="H13" s="1876">
        <f t="shared" si="0"/>
        <v>0</v>
      </c>
      <c r="I13" s="1876">
        <f t="shared" si="1"/>
        <v>0</v>
      </c>
      <c r="J13" s="1876">
        <f t="shared" si="2"/>
        <v>0</v>
      </c>
    </row>
    <row r="14" spans="1:10" ht="12" customHeight="1" x14ac:dyDescent="0.2">
      <c r="A14" s="1861" t="s">
        <v>1386</v>
      </c>
      <c r="B14" s="1862"/>
      <c r="C14" s="1863"/>
      <c r="D14" s="1863"/>
      <c r="E14" s="1866"/>
      <c r="F14" s="1865"/>
      <c r="H14" s="1876">
        <f t="shared" si="0"/>
        <v>0</v>
      </c>
      <c r="I14" s="1876">
        <f t="shared" si="1"/>
        <v>0</v>
      </c>
      <c r="J14" s="1876">
        <f t="shared" si="2"/>
        <v>0</v>
      </c>
    </row>
    <row r="15" spans="1:10" ht="12" customHeight="1" x14ac:dyDescent="0.2">
      <c r="A15" s="1861" t="s">
        <v>1387</v>
      </c>
      <c r="B15" s="1862"/>
      <c r="C15" s="1863"/>
      <c r="D15" s="1863"/>
      <c r="E15" s="1866"/>
      <c r="F15" s="1865"/>
      <c r="H15" s="1876">
        <f t="shared" si="0"/>
        <v>0</v>
      </c>
      <c r="I15" s="1876">
        <f t="shared" si="1"/>
        <v>0</v>
      </c>
      <c r="J15" s="1876">
        <f t="shared" si="2"/>
        <v>0</v>
      </c>
    </row>
    <row r="16" spans="1:10" ht="12" customHeight="1" x14ac:dyDescent="0.2">
      <c r="A16" s="1861" t="s">
        <v>1388</v>
      </c>
      <c r="B16" s="1862"/>
      <c r="C16" s="1863"/>
      <c r="D16" s="1863"/>
      <c r="E16" s="1866"/>
      <c r="F16" s="1865"/>
      <c r="H16" s="1876">
        <f t="shared" si="0"/>
        <v>0</v>
      </c>
      <c r="I16" s="1876">
        <f t="shared" si="1"/>
        <v>0</v>
      </c>
      <c r="J16" s="1876">
        <f t="shared" si="2"/>
        <v>0</v>
      </c>
    </row>
    <row r="17" spans="1:12" ht="12" customHeight="1" x14ac:dyDescent="0.2">
      <c r="A17" s="1861" t="s">
        <v>1389</v>
      </c>
      <c r="B17" s="1862"/>
      <c r="C17" s="1863"/>
      <c r="D17" s="1863"/>
      <c r="E17" s="1866"/>
      <c r="F17" s="1865"/>
      <c r="H17" s="1876">
        <f t="shared" si="0"/>
        <v>0</v>
      </c>
      <c r="I17" s="1876">
        <f t="shared" si="1"/>
        <v>0</v>
      </c>
      <c r="J17" s="1876">
        <f t="shared" si="2"/>
        <v>0</v>
      </c>
    </row>
    <row r="18" spans="1:12" ht="12" customHeight="1" x14ac:dyDescent="0.2">
      <c r="A18" s="1861" t="s">
        <v>1390</v>
      </c>
      <c r="B18" s="1862"/>
      <c r="C18" s="1863"/>
      <c r="D18" s="1863"/>
      <c r="E18" s="1866"/>
      <c r="F18" s="1865"/>
      <c r="H18" s="1876">
        <f t="shared" si="0"/>
        <v>0</v>
      </c>
      <c r="I18" s="1876">
        <f t="shared" si="1"/>
        <v>0</v>
      </c>
      <c r="J18" s="1876">
        <f t="shared" si="2"/>
        <v>0</v>
      </c>
    </row>
    <row r="19" spans="1:12" ht="12" customHeight="1" x14ac:dyDescent="0.2">
      <c r="A19" s="1861" t="s">
        <v>1527</v>
      </c>
      <c r="B19" s="1862"/>
      <c r="C19" s="1863"/>
      <c r="D19" s="1863"/>
      <c r="E19" s="1866"/>
      <c r="F19" s="1865"/>
      <c r="H19" s="1876">
        <f t="shared" si="0"/>
        <v>0</v>
      </c>
      <c r="I19" s="1876">
        <f t="shared" si="1"/>
        <v>0</v>
      </c>
      <c r="J19" s="1876">
        <f t="shared" si="2"/>
        <v>0</v>
      </c>
    </row>
    <row r="20" spans="1:12" ht="12" customHeight="1" x14ac:dyDescent="0.2">
      <c r="A20" s="1861" t="s">
        <v>1528</v>
      </c>
      <c r="B20" s="1862"/>
      <c r="C20" s="1863"/>
      <c r="D20" s="1863"/>
      <c r="E20" s="1866"/>
      <c r="F20" s="1865"/>
      <c r="H20" s="1876">
        <f t="shared" si="0"/>
        <v>0</v>
      </c>
      <c r="I20" s="1876">
        <f t="shared" si="1"/>
        <v>0</v>
      </c>
      <c r="J20" s="1876">
        <f t="shared" si="2"/>
        <v>0</v>
      </c>
    </row>
    <row r="21" spans="1:12" ht="12" customHeight="1" x14ac:dyDescent="0.2">
      <c r="A21" s="1861" t="s">
        <v>1529</v>
      </c>
      <c r="B21" s="1862"/>
      <c r="C21" s="1863"/>
      <c r="D21" s="1863"/>
      <c r="E21" s="1866"/>
      <c r="F21" s="1865"/>
      <c r="H21" s="1876">
        <f t="shared" si="0"/>
        <v>0</v>
      </c>
      <c r="I21" s="1876">
        <f t="shared" si="1"/>
        <v>0</v>
      </c>
      <c r="J21" s="1876">
        <f t="shared" si="2"/>
        <v>0</v>
      </c>
    </row>
    <row r="22" spans="1:12" ht="12" customHeight="1" x14ac:dyDescent="0.2">
      <c r="A22" s="1861" t="s">
        <v>1530</v>
      </c>
      <c r="B22" s="1862"/>
      <c r="C22" s="1863"/>
      <c r="D22" s="1863"/>
      <c r="E22" s="1866"/>
      <c r="F22" s="1865"/>
      <c r="H22" s="1876">
        <f t="shared" si="0"/>
        <v>0</v>
      </c>
      <c r="I22" s="1876">
        <f t="shared" si="1"/>
        <v>0</v>
      </c>
      <c r="J22" s="1876">
        <f t="shared" si="2"/>
        <v>0</v>
      </c>
    </row>
    <row r="23" spans="1:12" ht="12" customHeight="1" x14ac:dyDescent="0.2">
      <c r="A23" s="1861" t="s">
        <v>1531</v>
      </c>
      <c r="B23" s="1862"/>
      <c r="C23" s="1863"/>
      <c r="D23" s="1863"/>
      <c r="E23" s="1866"/>
      <c r="F23" s="1865"/>
      <c r="H23" s="1876">
        <f t="shared" si="0"/>
        <v>0</v>
      </c>
      <c r="I23" s="1876">
        <f t="shared" si="1"/>
        <v>0</v>
      </c>
      <c r="J23" s="1876">
        <f t="shared" si="2"/>
        <v>0</v>
      </c>
    </row>
    <row r="24" spans="1:12" ht="12" customHeight="1" x14ac:dyDescent="0.2">
      <c r="A24" s="1861" t="s">
        <v>1532</v>
      </c>
      <c r="B24" s="1862"/>
      <c r="C24" s="1863"/>
      <c r="D24" s="1863"/>
      <c r="E24" s="1866"/>
      <c r="F24" s="1865"/>
      <c r="H24" s="1876">
        <f t="shared" si="0"/>
        <v>0</v>
      </c>
      <c r="I24" s="1876">
        <f t="shared" si="1"/>
        <v>0</v>
      </c>
      <c r="J24" s="1876">
        <f t="shared" si="2"/>
        <v>0</v>
      </c>
    </row>
    <row r="25" spans="1:12" ht="12" customHeight="1" x14ac:dyDescent="0.2">
      <c r="A25" s="1861" t="s">
        <v>1533</v>
      </c>
      <c r="B25" s="1862"/>
      <c r="C25" s="1863"/>
      <c r="D25" s="1863"/>
      <c r="E25" s="1866"/>
      <c r="F25" s="1865"/>
      <c r="H25" s="1876">
        <f t="shared" si="0"/>
        <v>0</v>
      </c>
      <c r="I25" s="1876">
        <f t="shared" si="1"/>
        <v>0</v>
      </c>
      <c r="J25" s="1876">
        <f t="shared" si="2"/>
        <v>0</v>
      </c>
    </row>
    <row r="26" spans="1:12" ht="12" customHeight="1" x14ac:dyDescent="0.2">
      <c r="A26" s="1861" t="s">
        <v>1534</v>
      </c>
      <c r="B26" s="1862"/>
      <c r="C26" s="1863" t="s">
        <v>2070</v>
      </c>
      <c r="D26" s="1863" t="s">
        <v>2070</v>
      </c>
      <c r="E26" s="1936"/>
      <c r="F26" s="1865" t="s">
        <v>2078</v>
      </c>
      <c r="H26" s="1876">
        <f t="shared" si="0"/>
        <v>5</v>
      </c>
      <c r="I26" s="1876">
        <f t="shared" si="1"/>
        <v>5</v>
      </c>
      <c r="J26" s="1876">
        <f t="shared" si="2"/>
        <v>0</v>
      </c>
    </row>
    <row r="27" spans="1:12" ht="18.75" x14ac:dyDescent="0.2">
      <c r="A27" s="1861" t="s">
        <v>1535</v>
      </c>
      <c r="B27" s="1862"/>
      <c r="C27" s="1863"/>
      <c r="D27" s="1863"/>
      <c r="E27" s="1866"/>
      <c r="F27" s="1865"/>
      <c r="H27" s="1876">
        <f t="shared" si="0"/>
        <v>0</v>
      </c>
      <c r="I27" s="1876">
        <f t="shared" si="1"/>
        <v>0</v>
      </c>
      <c r="J27" s="1876">
        <f t="shared" si="2"/>
        <v>0</v>
      </c>
    </row>
    <row r="28" spans="1:12" ht="12" customHeight="1" x14ac:dyDescent="0.2">
      <c r="A28" s="1861" t="s">
        <v>1536</v>
      </c>
      <c r="B28" s="1862"/>
      <c r="C28" s="1863"/>
      <c r="D28" s="1863"/>
      <c r="E28" s="1866"/>
      <c r="F28" s="1865"/>
      <c r="H28" s="1876">
        <f t="shared" si="0"/>
        <v>0</v>
      </c>
      <c r="I28" s="1876">
        <f t="shared" si="1"/>
        <v>0</v>
      </c>
      <c r="J28" s="1876">
        <f t="shared" si="2"/>
        <v>0</v>
      </c>
    </row>
    <row r="29" spans="1:12" ht="12" customHeight="1" x14ac:dyDescent="0.2">
      <c r="A29" s="1861" t="s">
        <v>1537</v>
      </c>
      <c r="B29" s="1862"/>
      <c r="C29" s="1863"/>
      <c r="D29" s="1863"/>
      <c r="E29" s="1866"/>
      <c r="F29" s="1865"/>
      <c r="H29" s="1876">
        <f t="shared" si="0"/>
        <v>0</v>
      </c>
      <c r="I29" s="1876">
        <f t="shared" si="1"/>
        <v>0</v>
      </c>
      <c r="J29" s="1876">
        <f t="shared" si="2"/>
        <v>0</v>
      </c>
    </row>
    <row r="30" spans="1:12" ht="12" customHeight="1" x14ac:dyDescent="0.2">
      <c r="A30" s="1861" t="s">
        <v>1538</v>
      </c>
      <c r="B30" s="1862"/>
      <c r="C30" s="1863"/>
      <c r="D30" s="1863"/>
      <c r="E30" s="1866"/>
      <c r="F30" s="1865"/>
      <c r="H30" s="1876">
        <f t="shared" si="0"/>
        <v>0</v>
      </c>
      <c r="I30" s="1876">
        <f t="shared" si="1"/>
        <v>0</v>
      </c>
      <c r="J30" s="1876">
        <f t="shared" si="2"/>
        <v>0</v>
      </c>
    </row>
    <row r="31" spans="1:12" ht="12" customHeight="1" x14ac:dyDescent="0.2">
      <c r="A31" s="1861" t="s">
        <v>1539</v>
      </c>
      <c r="B31" s="1862"/>
      <c r="C31" s="1863"/>
      <c r="D31" s="1863"/>
      <c r="E31" s="1866"/>
      <c r="F31" s="1865"/>
      <c r="H31" s="1876">
        <f t="shared" si="0"/>
        <v>0</v>
      </c>
      <c r="I31" s="1876">
        <f t="shared" si="1"/>
        <v>0</v>
      </c>
      <c r="J31" s="1876">
        <f t="shared" si="2"/>
        <v>0</v>
      </c>
      <c r="L31" s="1867"/>
    </row>
    <row r="32" spans="1:12" ht="12" customHeight="1" x14ac:dyDescent="0.2">
      <c r="A32" s="1861" t="s">
        <v>1540</v>
      </c>
      <c r="B32" s="1862"/>
      <c r="C32" s="1863"/>
      <c r="D32" s="1863"/>
      <c r="E32" s="1866"/>
      <c r="F32" s="1865"/>
      <c r="H32" s="1876">
        <f t="shared" si="0"/>
        <v>0</v>
      </c>
      <c r="I32" s="1876">
        <f t="shared" si="1"/>
        <v>0</v>
      </c>
      <c r="J32" s="1876">
        <f t="shared" si="2"/>
        <v>0</v>
      </c>
    </row>
    <row r="33" spans="1:11" ht="12" customHeight="1" x14ac:dyDescent="0.2">
      <c r="A33" s="1861" t="s">
        <v>1541</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5</v>
      </c>
      <c r="I34" s="1876">
        <f>SUM(I11:I32)</f>
        <v>5</v>
      </c>
      <c r="J34" s="1876">
        <f>SUM(J11:J32)</f>
        <v>0</v>
      </c>
      <c r="K34" s="1876">
        <f>SUM(H34:J34)</f>
        <v>10</v>
      </c>
    </row>
    <row r="35" spans="1:11" ht="12" customHeight="1" x14ac:dyDescent="0.2">
      <c r="A35" s="1869" t="s">
        <v>1392</v>
      </c>
      <c r="B35" s="1870"/>
      <c r="C35" s="2301"/>
      <c r="D35" s="2301"/>
      <c r="E35" s="2301"/>
      <c r="F35" s="2302"/>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306"/>
      <c r="B38" s="2307"/>
      <c r="C38" s="2307"/>
      <c r="D38" s="2307"/>
      <c r="E38" s="2307"/>
      <c r="F38" s="2308"/>
    </row>
    <row r="39" spans="1:11" ht="4.5" hidden="1" customHeight="1" x14ac:dyDescent="0.2">
      <c r="A39" s="1871"/>
      <c r="B39" s="1871"/>
      <c r="C39" s="1871"/>
      <c r="D39" s="1871"/>
      <c r="E39" s="1871"/>
      <c r="F39" s="1871"/>
    </row>
    <row r="40" spans="1:11" s="1868" customFormat="1" ht="12" customHeight="1" x14ac:dyDescent="0.25">
      <c r="A40" s="1872" t="s">
        <v>1391</v>
      </c>
      <c r="B40" s="1873"/>
      <c r="C40" s="2309"/>
      <c r="D40" s="2309"/>
      <c r="E40" s="2309"/>
      <c r="F40" s="2310"/>
      <c r="H40" s="1877"/>
      <c r="I40" s="1877"/>
      <c r="J40" s="1877"/>
      <c r="K40" s="1877"/>
    </row>
    <row r="41" spans="1:11" s="1868" customFormat="1" ht="12" customHeight="1" x14ac:dyDescent="0.25">
      <c r="A41" s="2311" t="s">
        <v>2180</v>
      </c>
      <c r="B41" s="2312"/>
      <c r="C41" s="2312"/>
      <c r="D41" s="2312"/>
      <c r="E41" s="2312"/>
      <c r="F41" s="2313"/>
      <c r="H41" s="1877"/>
      <c r="I41" s="1877"/>
      <c r="J41" s="1877"/>
      <c r="K41" s="1877"/>
    </row>
    <row r="42" spans="1:11" s="1868" customFormat="1" ht="12" customHeight="1" x14ac:dyDescent="0.25">
      <c r="A42" s="2311" t="s">
        <v>2079</v>
      </c>
      <c r="B42" s="2312"/>
      <c r="C42" s="2312"/>
      <c r="D42" s="2312"/>
      <c r="E42" s="2312"/>
      <c r="F42" s="2313"/>
      <c r="H42" s="1877"/>
      <c r="I42" s="1877"/>
      <c r="J42" s="1877"/>
      <c r="K42" s="1877"/>
    </row>
    <row r="43" spans="1:11" s="1868" customFormat="1" ht="15" x14ac:dyDescent="0.25">
      <c r="A43" s="2303"/>
      <c r="B43" s="2304"/>
      <c r="C43" s="2304"/>
      <c r="D43" s="2304"/>
      <c r="E43" s="2304"/>
      <c r="F43" s="2305"/>
      <c r="H43" s="1877"/>
      <c r="I43" s="1877"/>
      <c r="J43" s="1877"/>
      <c r="K43" s="1877"/>
    </row>
    <row r="44" spans="1:11" s="1868" customFormat="1" ht="12" hidden="1" customHeight="1" x14ac:dyDescent="0.25">
      <c r="A44" s="2303"/>
      <c r="B44" s="2304"/>
      <c r="C44" s="2304"/>
      <c r="D44" s="2304"/>
      <c r="E44" s="2304"/>
      <c r="F44" s="2305"/>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2" t="s">
        <v>672</v>
      </c>
      <c r="B6" s="1640"/>
      <c r="C6" s="1640"/>
      <c r="D6" s="1640"/>
      <c r="E6" s="1641"/>
      <c r="F6" s="1015"/>
      <c r="G6" s="1009"/>
      <c r="H6" s="1016" t="s">
        <v>1028</v>
      </c>
      <c r="I6" s="2319" t="str">
        <f>COVER!A17</f>
        <v>Grundy County Spec Educ Coop</v>
      </c>
      <c r="J6" s="2320"/>
      <c r="Q6" s="1662"/>
    </row>
    <row r="7" spans="1:17" x14ac:dyDescent="0.2">
      <c r="A7" s="2321" t="s">
        <v>869</v>
      </c>
      <c r="B7" s="2322"/>
      <c r="C7" s="2322"/>
      <c r="D7" s="2322"/>
      <c r="E7" s="2323"/>
      <c r="F7" s="1017"/>
      <c r="G7" s="1009"/>
      <c r="H7" s="1016" t="s">
        <v>372</v>
      </c>
      <c r="I7" s="2324">
        <f>COVER!A13</f>
        <v>24032101061</v>
      </c>
      <c r="J7" s="2324"/>
    </row>
    <row r="8" spans="1:17" ht="8.25" customHeight="1" x14ac:dyDescent="0.2">
      <c r="A8" s="1642"/>
      <c r="B8" s="1643"/>
      <c r="C8" s="1643"/>
      <c r="D8" s="1643"/>
      <c r="E8" s="1644"/>
      <c r="F8" s="1018"/>
      <c r="G8" s="1019"/>
      <c r="H8" s="1019"/>
      <c r="I8" s="1019"/>
      <c r="J8" s="1019"/>
    </row>
    <row r="9" spans="1:17" ht="13.5" customHeight="1" x14ac:dyDescent="0.2">
      <c r="A9" s="1020"/>
      <c r="B9" s="1021"/>
      <c r="C9" s="1021"/>
      <c r="D9" s="1022"/>
      <c r="E9" s="1893" t="s">
        <v>1974</v>
      </c>
      <c r="F9" s="1023"/>
      <c r="G9" s="1023"/>
      <c r="H9" s="1894"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5" t="s">
        <v>481</v>
      </c>
      <c r="B11" s="2326"/>
      <c r="C11" s="2327"/>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853175</v>
      </c>
      <c r="F12" s="1039"/>
      <c r="G12" s="1809">
        <f t="shared" ref="G12:G18" si="0">SUM(E12:F12)</f>
        <v>853175</v>
      </c>
      <c r="H12" s="1040"/>
      <c r="I12" s="1039"/>
      <c r="J12" s="1809">
        <f t="shared" ref="J12:J18" si="1">SUM(H12:I12)</f>
        <v>0</v>
      </c>
    </row>
    <row r="13" spans="1:17" ht="15" customHeight="1" x14ac:dyDescent="0.2">
      <c r="A13" s="1035">
        <v>2</v>
      </c>
      <c r="B13" s="1036" t="s">
        <v>42</v>
      </c>
      <c r="C13" s="1037"/>
      <c r="D13" s="1038">
        <v>2330</v>
      </c>
      <c r="E13" s="1809">
        <f>'Expenditures 15-22'!K51</f>
        <v>0</v>
      </c>
      <c r="F13" s="1039"/>
      <c r="G13" s="1809">
        <f t="shared" si="0"/>
        <v>0</v>
      </c>
      <c r="H13" s="1040"/>
      <c r="I13" s="1039"/>
      <c r="J13" s="1809">
        <f t="shared" si="1"/>
        <v>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1068</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0</v>
      </c>
      <c r="F16" s="1039"/>
      <c r="G16" s="1809">
        <f t="shared" si="0"/>
        <v>0</v>
      </c>
      <c r="H16" s="1040"/>
      <c r="I16" s="1039"/>
      <c r="J16" s="1809">
        <f t="shared" si="1"/>
        <v>0</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328" t="s">
        <v>7</v>
      </c>
      <c r="C18" s="2329"/>
      <c r="D18" s="2330"/>
      <c r="E18" s="1043"/>
      <c r="F18" s="1043"/>
      <c r="G18" s="1810">
        <f t="shared" si="0"/>
        <v>0</v>
      </c>
      <c r="H18" s="1040"/>
      <c r="I18" s="1040"/>
      <c r="J18" s="1809">
        <f t="shared" si="1"/>
        <v>0</v>
      </c>
    </row>
    <row r="19" spans="1:10" ht="12.75" customHeight="1" thickBot="1" x14ac:dyDescent="0.25">
      <c r="A19" s="1035">
        <v>8</v>
      </c>
      <c r="B19" s="1044" t="s">
        <v>1161</v>
      </c>
      <c r="D19" s="1045"/>
      <c r="E19" s="1811">
        <f t="shared" ref="E19:J19" si="2">SUM(E12:E17)-E18</f>
        <v>853175</v>
      </c>
      <c r="F19" s="1811">
        <f t="shared" si="2"/>
        <v>0</v>
      </c>
      <c r="G19" s="1811">
        <f t="shared" si="2"/>
        <v>853175</v>
      </c>
      <c r="H19" s="1811">
        <f t="shared" si="2"/>
        <v>0</v>
      </c>
      <c r="I19" s="1811">
        <f t="shared" si="2"/>
        <v>0</v>
      </c>
      <c r="J19" s="1811">
        <f t="shared" si="2"/>
        <v>0</v>
      </c>
    </row>
    <row r="20" spans="1:10" ht="13.5" thickTop="1" x14ac:dyDescent="0.2">
      <c r="A20" s="1035">
        <v>9</v>
      </c>
      <c r="B20" s="2331" t="s">
        <v>1976</v>
      </c>
      <c r="C20" s="2331"/>
      <c r="D20" s="2332"/>
      <c r="E20" s="1046"/>
      <c r="F20" s="1046"/>
      <c r="G20" s="1046"/>
      <c r="H20" s="1046"/>
      <c r="I20" s="1046"/>
      <c r="J20" s="1812" t="str">
        <f>IF(AND(G19&gt;0,J19&gt;0),(((J19-G19)/G19)),"Enter Budget Data")</f>
        <v>Enter Budget Data</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37"/>
      <c r="D26" s="2337"/>
      <c r="E26" s="1050"/>
      <c r="F26" s="2336"/>
      <c r="G26" s="2336"/>
    </row>
    <row r="27" spans="1:10" x14ac:dyDescent="0.2">
      <c r="B27" s="1047"/>
      <c r="C27" s="1051" t="s">
        <v>1033</v>
      </c>
      <c r="D27" s="1052"/>
      <c r="E27" s="1053"/>
      <c r="F27" s="2333" t="s">
        <v>1509</v>
      </c>
      <c r="G27" s="2333"/>
    </row>
    <row r="28" spans="1:10" ht="28.5" customHeight="1" x14ac:dyDescent="0.2">
      <c r="B28" s="1047"/>
      <c r="C28" s="2335"/>
      <c r="D28" s="2335"/>
      <c r="E28" s="1054"/>
      <c r="F28" s="2335"/>
      <c r="G28" s="2335"/>
    </row>
    <row r="29" spans="1:10" x14ac:dyDescent="0.2">
      <c r="B29" s="1047"/>
      <c r="C29" s="1055" t="s">
        <v>1561</v>
      </c>
      <c r="E29" s="1056"/>
      <c r="F29" s="2334" t="s">
        <v>1510</v>
      </c>
      <c r="G29" s="233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2"/>
    </row>
    <row r="36" spans="1:10" ht="13.5" customHeight="1" x14ac:dyDescent="0.2">
      <c r="B36" s="1061"/>
      <c r="C36" s="2318" t="s">
        <v>1978</v>
      </c>
      <c r="D36" s="2317"/>
      <c r="E36" s="2317"/>
      <c r="F36" s="2317"/>
      <c r="G36" s="2317"/>
      <c r="H36" s="2317"/>
      <c r="I36" s="2317"/>
      <c r="J36" s="1063"/>
    </row>
    <row r="37" spans="1:10" ht="22.5" customHeight="1" x14ac:dyDescent="0.2">
      <c r="C37" s="2317"/>
      <c r="D37" s="2317"/>
      <c r="E37" s="2317"/>
      <c r="F37" s="2317"/>
      <c r="G37" s="2317"/>
      <c r="H37" s="2317"/>
      <c r="I37" s="2317"/>
      <c r="J37" s="1063"/>
    </row>
    <row r="38" spans="1:10" ht="7.5" customHeight="1" x14ac:dyDescent="0.2">
      <c r="C38" s="1062"/>
      <c r="D38" s="1064"/>
      <c r="E38" s="1065"/>
      <c r="F38" s="1066"/>
      <c r="G38" s="1065"/>
    </row>
    <row r="39" spans="1:10" ht="13.5" customHeight="1" x14ac:dyDescent="0.2">
      <c r="B39" s="1061"/>
      <c r="C39" s="2314" t="s">
        <v>882</v>
      </c>
      <c r="D39" s="2315"/>
      <c r="E39" s="2315"/>
      <c r="F39" s="2315"/>
      <c r="G39" s="2315"/>
      <c r="H39" s="2315"/>
      <c r="I39" s="231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2:B65"/>
  <sheetViews>
    <sheetView showGridLines="0" zoomScale="110" zoomScaleNormal="110" workbookViewId="0">
      <selection activeCell="B7" sqref="B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2080</v>
      </c>
    </row>
    <row r="6" spans="1:2" x14ac:dyDescent="0.2">
      <c r="A6" s="1068">
        <v>2</v>
      </c>
      <c r="B6" s="329" t="s">
        <v>2181</v>
      </c>
    </row>
    <row r="7" spans="1:2" x14ac:dyDescent="0.2">
      <c r="A7" s="1068">
        <v>3</v>
      </c>
      <c r="B7" s="329" t="s">
        <v>2081</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Grundy County Spec Educ Coop</v>
      </c>
    </row>
    <row r="65" spans="2:2" x14ac:dyDescent="0.2">
      <c r="B65" s="1070">
        <f>COVER!A13</f>
        <v>24032101061</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4" t="s">
        <v>1611</v>
      </c>
    </row>
    <row r="23" spans="1:5" x14ac:dyDescent="0.2">
      <c r="A23" s="168"/>
      <c r="B23" s="162" t="s">
        <v>1853</v>
      </c>
      <c r="D23" s="167" t="s">
        <v>637</v>
      </c>
      <c r="E23" s="1834"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5" t="s">
        <v>1065</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691</v>
      </c>
      <c r="B40" s="2052"/>
      <c r="C40" s="2052"/>
      <c r="D40" s="2052"/>
      <c r="E40" s="2052"/>
    </row>
    <row r="41" spans="1:5" x14ac:dyDescent="0.2">
      <c r="A41" s="2053" t="s">
        <v>1608</v>
      </c>
      <c r="B41" s="2053"/>
      <c r="C41" s="2053"/>
      <c r="D41" s="2053"/>
      <c r="E41" s="2053"/>
    </row>
    <row r="42" spans="1:5" ht="12.75" customHeight="1" x14ac:dyDescent="0.2">
      <c r="A42" s="2054" t="s">
        <v>1022</v>
      </c>
      <c r="B42" s="2054"/>
      <c r="C42" s="2054"/>
      <c r="D42" s="2054"/>
      <c r="E42" s="2054"/>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3" t="s">
        <v>1773</v>
      </c>
    </row>
    <row r="60" spans="1:3" x14ac:dyDescent="0.2">
      <c r="A60" s="196"/>
      <c r="B60" s="1483"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5"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4"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sheetPr>
  <dimension ref="A18:F27"/>
  <sheetViews>
    <sheetView showGridLines="0" zoomScale="110" zoomScaleNormal="110" workbookViewId="0">
      <selection activeCell="B17" sqref="B17"/>
    </sheetView>
  </sheetViews>
  <sheetFormatPr defaultRowHeight="12.75" x14ac:dyDescent="0.2"/>
  <cols>
    <col min="1" max="1" width="1.85546875" style="329" customWidth="1"/>
    <col min="2" max="2" width="59.7109375" style="329" customWidth="1"/>
    <col min="3" max="16384" width="9.140625" style="329"/>
  </cols>
  <sheetData>
    <row r="18" spans="1:6" x14ac:dyDescent="0.2">
      <c r="B18" s="1071"/>
      <c r="C18" s="1071"/>
      <c r="D18" s="1071"/>
      <c r="E18" s="1071"/>
      <c r="F18" s="1071"/>
    </row>
    <row r="22" spans="1:6" x14ac:dyDescent="0.2">
      <c r="A22" s="1072" t="s">
        <v>1493</v>
      </c>
    </row>
    <row r="24" spans="1:6" x14ac:dyDescent="0.2">
      <c r="A24" s="389" t="s">
        <v>857</v>
      </c>
    </row>
    <row r="25" spans="1:6" s="1071" customFormat="1" ht="45" customHeight="1" x14ac:dyDescent="0.2">
      <c r="A25" s="1073"/>
      <c r="B25" s="1073" t="s">
        <v>1684</v>
      </c>
    </row>
    <row r="26" spans="1:6" ht="6" customHeight="1" x14ac:dyDescent="0.2"/>
    <row r="27" spans="1:6" ht="24.75" customHeight="1" x14ac:dyDescent="0.2">
      <c r="A27" s="2338" t="s">
        <v>1685</v>
      </c>
      <c r="B27" s="2338"/>
    </row>
  </sheetData>
  <sheetProtection selectLockedCells="1"/>
  <mergeCells count="1">
    <mergeCell ref="A27:B27"/>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5324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Exch.Document.DC" dvAspect="DVASPECT_ICON" shapeId="53249" r:id="rId4"/>
      </mc:Fallback>
    </mc:AlternateContent>
    <mc:AlternateContent xmlns:mc="http://schemas.openxmlformats.org/markup-compatibility/2006">
      <mc:Choice Requires="x14">
        <oleObject progId="AcroExch.Document.DC" dvAspect="DVASPECT_ICON" shapeId="53250" r:id="rId6">
          <objectPr defaultSize="0" r:id="rId7">
            <anchor moveWithCells="1">
              <from>
                <xdr:col>1</xdr:col>
                <xdr:colOff>0</xdr:colOff>
                <xdr:row>6</xdr:row>
                <xdr:rowOff>0</xdr:rowOff>
              </from>
              <to>
                <xdr:col>1</xdr:col>
                <xdr:colOff>914400</xdr:colOff>
                <xdr:row>10</xdr:row>
                <xdr:rowOff>38100</xdr:rowOff>
              </to>
            </anchor>
          </objectPr>
        </oleObject>
      </mc:Choice>
      <mc:Fallback>
        <oleObject progId="AcroExch.Document.DC" dvAspect="DVASPECT_ICON" shapeId="53250" r:id="rId6"/>
      </mc:Fallback>
    </mc:AlternateContent>
    <mc:AlternateContent xmlns:mc="http://schemas.openxmlformats.org/markup-compatibility/2006">
      <mc:Choice Requires="x14">
        <oleObject progId="AcroExch.Document.DC" dvAspect="DVASPECT_ICON" shapeId="53251" r:id="rId8">
          <objectPr defaultSize="0" r:id="rId7">
            <anchor moveWithCells="1">
              <from>
                <xdr:col>1</xdr:col>
                <xdr:colOff>0</xdr:colOff>
                <xdr:row>11</xdr:row>
                <xdr:rowOff>0</xdr:rowOff>
              </from>
              <to>
                <xdr:col>1</xdr:col>
                <xdr:colOff>914400</xdr:colOff>
                <xdr:row>15</xdr:row>
                <xdr:rowOff>38100</xdr:rowOff>
              </to>
            </anchor>
          </objectPr>
        </oleObject>
      </mc:Choice>
      <mc:Fallback>
        <oleObject progId="AcroExch.Document.DC" dvAspect="DVASPECT_ICON" shapeId="53251" r:id="rId8"/>
      </mc:Fallback>
    </mc:AlternateContent>
    <mc:AlternateContent xmlns:mc="http://schemas.openxmlformats.org/markup-compatibility/2006">
      <mc:Choice Requires="x14">
        <oleObject progId="AcroExch.Document.DC" dvAspect="DVASPECT_ICON" shapeId="53252" r:id="rId9">
          <objectPr defaultSize="0" r:id="rId7">
            <anchor moveWithCells="1">
              <from>
                <xdr:col>1</xdr:col>
                <xdr:colOff>0</xdr:colOff>
                <xdr:row>16</xdr:row>
                <xdr:rowOff>0</xdr:rowOff>
              </from>
              <to>
                <xdr:col>1</xdr:col>
                <xdr:colOff>914400</xdr:colOff>
                <xdr:row>20</xdr:row>
                <xdr:rowOff>38100</xdr:rowOff>
              </to>
            </anchor>
          </objectPr>
        </oleObject>
      </mc:Choice>
      <mc:Fallback>
        <oleObject progId="AcroExch.Document.DC" dvAspect="DVASPECT_ICON" shapeId="53252" r:id="rId9"/>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zoomScale="110" zoomScaleNormal="110" workbookViewId="0">
      <selection activeCell="C11" sqref="C1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9" t="s">
        <v>1690</v>
      </c>
      <c r="B1" s="2340"/>
      <c r="C1" s="2340"/>
      <c r="D1" s="2340"/>
      <c r="E1" s="2340"/>
      <c r="F1" s="2341"/>
    </row>
    <row r="2" spans="1:8" ht="45" customHeight="1" x14ac:dyDescent="0.2">
      <c r="A2" s="2349" t="s">
        <v>1982</v>
      </c>
      <c r="B2" s="2350"/>
      <c r="C2" s="2350"/>
      <c r="D2" s="2350"/>
      <c r="E2" s="2350"/>
      <c r="F2" s="2351"/>
      <c r="G2" s="1074"/>
      <c r="H2" s="1074"/>
    </row>
    <row r="3" spans="1:8" ht="57" customHeight="1" x14ac:dyDescent="0.2">
      <c r="A3" s="2352" t="s">
        <v>1686</v>
      </c>
      <c r="B3" s="2353"/>
      <c r="C3" s="2353"/>
      <c r="D3" s="2353"/>
      <c r="E3" s="2353"/>
      <c r="F3" s="2354"/>
      <c r="G3" s="1074"/>
      <c r="H3" s="1074"/>
    </row>
    <row r="4" spans="1:8" ht="14.25" customHeight="1" x14ac:dyDescent="0.2">
      <c r="A4" s="2358" t="s">
        <v>1983</v>
      </c>
      <c r="B4" s="2359"/>
      <c r="C4" s="2359"/>
      <c r="D4" s="2359"/>
      <c r="E4" s="2359"/>
      <c r="F4" s="2360"/>
      <c r="G4" s="1074"/>
      <c r="H4" s="1074"/>
    </row>
    <row r="5" spans="1:8" ht="14.25" customHeight="1" x14ac:dyDescent="0.2">
      <c r="A5" s="2361" t="s">
        <v>1979</v>
      </c>
      <c r="B5" s="2362"/>
      <c r="C5" s="2362"/>
      <c r="D5" s="2362"/>
      <c r="E5" s="2362"/>
      <c r="F5" s="2363"/>
      <c r="G5" s="1074"/>
      <c r="H5" s="1074"/>
    </row>
    <row r="6" spans="1:8" s="1075" customFormat="1" ht="41.25" customHeight="1" x14ac:dyDescent="0.2">
      <c r="A6" s="2355" t="s">
        <v>1691</v>
      </c>
      <c r="B6" s="2356"/>
      <c r="C6" s="2356"/>
      <c r="D6" s="2356"/>
      <c r="E6" s="2356"/>
      <c r="F6" s="2357"/>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3">
        <f>'Acct Summary 7-8'!C8</f>
        <v>12038913</v>
      </c>
      <c r="C8" s="1813">
        <f>'Acct Summary 7-8'!D8</f>
        <v>0</v>
      </c>
      <c r="D8" s="1813">
        <f>'Acct Summary 7-8'!F8</f>
        <v>0</v>
      </c>
      <c r="E8" s="1813">
        <f>'Acct Summary 7-8'!I8</f>
        <v>0</v>
      </c>
      <c r="F8" s="1813">
        <f>SUM(B8:E8)</f>
        <v>12038913</v>
      </c>
    </row>
    <row r="9" spans="1:8" s="1079" customFormat="1" ht="14.25" customHeight="1" thickBot="1" x14ac:dyDescent="0.25">
      <c r="A9" s="1078" t="s">
        <v>1369</v>
      </c>
      <c r="B9" s="1814">
        <f>'Acct Summary 7-8'!C17</f>
        <v>11665833</v>
      </c>
      <c r="C9" s="1814">
        <f>'Acct Summary 7-8'!D17</f>
        <v>127896</v>
      </c>
      <c r="D9" s="1814">
        <f>'Acct Summary 7-8'!F17</f>
        <v>0</v>
      </c>
      <c r="E9" s="1813"/>
      <c r="F9" s="1813">
        <f>SUM(B9:E9)</f>
        <v>11793729</v>
      </c>
    </row>
    <row r="10" spans="1:8" s="1079" customFormat="1" ht="14.25" thickTop="1" thickBot="1" x14ac:dyDescent="0.25">
      <c r="A10" s="1080" t="s">
        <v>1370</v>
      </c>
      <c r="B10" s="1815">
        <f>(B8-B9)</f>
        <v>373080</v>
      </c>
      <c r="C10" s="1815">
        <f>(C8-C9)</f>
        <v>-127896</v>
      </c>
      <c r="D10" s="1815">
        <f>(D8-D9)</f>
        <v>0</v>
      </c>
      <c r="E10" s="1814">
        <f>(E8-E9)</f>
        <v>0</v>
      </c>
      <c r="F10" s="1816">
        <f>SUM(F8-F9)</f>
        <v>245184</v>
      </c>
    </row>
    <row r="11" spans="1:8" s="1079" customFormat="1" ht="14.25" thickTop="1" thickBot="1" x14ac:dyDescent="0.25">
      <c r="A11" s="1081" t="s">
        <v>1980</v>
      </c>
      <c r="B11" s="1817">
        <f>'Acct Summary 7-8'!C81</f>
        <v>2326815</v>
      </c>
      <c r="C11" s="1817">
        <f>'Acct Summary 7-8'!D81</f>
        <v>0</v>
      </c>
      <c r="D11" s="1817">
        <f>'Acct Summary 7-8'!F81</f>
        <v>0</v>
      </c>
      <c r="E11" s="1817">
        <f>'Acct Summary 7-8'!I81</f>
        <v>0</v>
      </c>
      <c r="F11" s="1818">
        <f>SUM(B11:E11)</f>
        <v>2326815</v>
      </c>
    </row>
    <row r="12" spans="1:8" ht="16.5" customHeight="1" thickTop="1" x14ac:dyDescent="0.2">
      <c r="A12" s="1082"/>
      <c r="B12" s="1083"/>
      <c r="C12" s="2343" t="str">
        <f>IF(AND(F10&lt;0,F11&gt;=0,ABS(F10*3)&gt;ABS(F11)),A16,IF(AND(F10&lt;0,F11&gt;0,ABS(F10*3)&lt;=ABS(F11)),A17,IF(AND(F10&lt;0,F11&lt;0),A16,IF(F11=0,A19,A18))))</f>
        <v>Balanced - no deficit reduction plan is required.</v>
      </c>
      <c r="D12" s="2344"/>
      <c r="E12" s="2344"/>
      <c r="F12" s="2345"/>
    </row>
    <row r="13" spans="1:8" ht="19.5" customHeight="1" x14ac:dyDescent="0.2">
      <c r="A13" s="1084"/>
      <c r="B13" s="1085"/>
      <c r="C13" s="2343"/>
      <c r="D13" s="2344"/>
      <c r="E13" s="2344"/>
      <c r="F13" s="2345"/>
      <c r="H13" s="1074"/>
    </row>
    <row r="14" spans="1:8" ht="19.5" customHeight="1" x14ac:dyDescent="0.2">
      <c r="A14" s="1084"/>
      <c r="B14" s="1085"/>
      <c r="C14" s="2343"/>
      <c r="D14" s="2344"/>
      <c r="E14" s="2344"/>
      <c r="F14" s="2345"/>
      <c r="H14" s="1074"/>
    </row>
    <row r="15" spans="1:8" ht="17.25" customHeight="1" x14ac:dyDescent="0.2">
      <c r="A15" s="1084"/>
      <c r="B15" s="1085"/>
      <c r="C15" s="2346"/>
      <c r="D15" s="2347"/>
      <c r="E15" s="2347"/>
      <c r="F15" s="2348"/>
      <c r="H15" s="1074"/>
    </row>
    <row r="16" spans="1:8" s="310" customFormat="1" ht="51.75" hidden="1" customHeight="1" x14ac:dyDescent="0.2">
      <c r="A16" s="2342" t="s">
        <v>1687</v>
      </c>
      <c r="B16" s="2342"/>
      <c r="C16" s="2342"/>
      <c r="D16" s="2342"/>
      <c r="E16" s="2342"/>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5"/>
      <c r="B2" s="1896"/>
      <c r="C2" s="1897"/>
      <c r="D2" s="1898"/>
    </row>
    <row r="3" spans="1:4" ht="36" customHeight="1" x14ac:dyDescent="0.2">
      <c r="A3" s="2364" t="s">
        <v>665</v>
      </c>
      <c r="B3" s="2365"/>
      <c r="C3" s="2365"/>
      <c r="D3" s="2366"/>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5" t="s">
        <v>1504</v>
      </c>
      <c r="D7" s="2376"/>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7" t="s">
        <v>1008</v>
      </c>
      <c r="B15" s="2368"/>
      <c r="C15" s="2368"/>
      <c r="D15" s="2369"/>
    </row>
    <row r="16" spans="1:4" s="668" customFormat="1" ht="24" customHeight="1" x14ac:dyDescent="0.2">
      <c r="A16" s="2370" t="s">
        <v>663</v>
      </c>
      <c r="B16" s="2371"/>
      <c r="C16" s="2371"/>
      <c r="D16" s="2372"/>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9" t="s">
        <v>314</v>
      </c>
      <c r="D21" s="2380"/>
    </row>
    <row r="22" spans="1:10" ht="12.75" x14ac:dyDescent="0.2">
      <c r="A22" s="1139"/>
      <c r="B22" s="1140">
        <v>2</v>
      </c>
      <c r="C22" s="2377" t="s">
        <v>1524</v>
      </c>
      <c r="D22" s="2378"/>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1" t="s">
        <v>536</v>
      </c>
      <c r="D43" s="2382"/>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3" t="s">
        <v>784</v>
      </c>
      <c r="D56" s="2374"/>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73" t="s">
        <v>1696</v>
      </c>
      <c r="D70" s="2374"/>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24032101061</v>
      </c>
    </row>
    <row r="3" spans="1:2" x14ac:dyDescent="0.2">
      <c r="A3" t="s">
        <v>956</v>
      </c>
      <c r="B3" s="138" t="str">
        <f>COVER!A15</f>
        <v>Grundy</v>
      </c>
    </row>
    <row r="4" spans="1:2" x14ac:dyDescent="0.2">
      <c r="A4" t="s">
        <v>1007</v>
      </c>
      <c r="B4" s="138" t="str">
        <f>COVER!A17</f>
        <v>Grundy County Spec Educ Coop</v>
      </c>
    </row>
    <row r="5" spans="1:2" x14ac:dyDescent="0.2">
      <c r="A5" t="s">
        <v>704</v>
      </c>
      <c r="B5" s="138" t="str">
        <f>COVER!A38</f>
        <v>Neil Sanburg</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066-005100</v>
      </c>
    </row>
    <row r="16" spans="1:2" x14ac:dyDescent="0.2">
      <c r="A16" t="s">
        <v>422</v>
      </c>
      <c r="B16" s="138" t="str">
        <f>COVER!T13</f>
        <v>Mack &amp; Associates, P.C.</v>
      </c>
    </row>
    <row r="17" spans="1:2" x14ac:dyDescent="0.2">
      <c r="A17" t="s">
        <v>884</v>
      </c>
      <c r="B17" s="138" t="str">
        <f>COVER!T15</f>
        <v>Tawnya Mack, CPA</v>
      </c>
    </row>
    <row r="18" spans="1:2" x14ac:dyDescent="0.2">
      <c r="A18" t="s">
        <v>1150</v>
      </c>
      <c r="B18" s="138" t="str">
        <f>COVER!T17</f>
        <v>116 E. Washington St., Suite One</v>
      </c>
    </row>
    <row r="19" spans="1:2" x14ac:dyDescent="0.2">
      <c r="A19" t="s">
        <v>886</v>
      </c>
      <c r="B19" s="138" t="str">
        <f>COVER!T25</f>
        <v>tmack@mackcpas.com</v>
      </c>
    </row>
    <row r="20" spans="1:2" x14ac:dyDescent="0.2">
      <c r="A20" t="s">
        <v>887</v>
      </c>
      <c r="B20" s="138" t="str">
        <f>COVER!T19</f>
        <v>Morris</v>
      </c>
    </row>
    <row r="21" spans="1:2" x14ac:dyDescent="0.2">
      <c r="A21" t="s">
        <v>479</v>
      </c>
      <c r="B21" s="138" t="str">
        <f>COVER!X19</f>
        <v>IL</v>
      </c>
    </row>
    <row r="22" spans="1:2" x14ac:dyDescent="0.2">
      <c r="A22" t="s">
        <v>888</v>
      </c>
      <c r="B22" s="138">
        <f>COVER!Z19</f>
        <v>60450</v>
      </c>
    </row>
    <row r="23" spans="1:2" x14ac:dyDescent="0.2">
      <c r="A23" t="s">
        <v>1152</v>
      </c>
      <c r="B23" s="138" t="str">
        <f>COVER!T21</f>
        <v>815-942-3306</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2326815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1713954</v>
      </c>
      <c r="D92" s="2" t="str">
        <f t="shared" si="0"/>
        <v>Error?</v>
      </c>
    </row>
    <row r="93" spans="1:4" x14ac:dyDescent="0.2">
      <c r="A93" s="5">
        <v>32</v>
      </c>
      <c r="B93" s="138">
        <f>'Assets-Liab 5-6'!C41</f>
        <v>2326815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74871</v>
      </c>
      <c r="D273" s="2" t="str">
        <f t="shared" si="3"/>
        <v>Error?</v>
      </c>
    </row>
    <row r="274" spans="1:4" x14ac:dyDescent="0.2">
      <c r="A274" s="5">
        <v>213</v>
      </c>
      <c r="B274" s="138">
        <f>'Assets-Liab 5-6'!M17</f>
        <v>1451927</v>
      </c>
      <c r="D274" s="2" t="str">
        <f t="shared" si="3"/>
        <v>Error?</v>
      </c>
    </row>
    <row r="275" spans="1:4" x14ac:dyDescent="0.2">
      <c r="A275" s="5">
        <v>214</v>
      </c>
      <c r="B275" s="138">
        <f>'Assets-Liab 5-6'!M18</f>
        <v>0</v>
      </c>
      <c r="D275" s="2" t="str">
        <f t="shared" si="3"/>
        <v>Error?</v>
      </c>
    </row>
    <row r="276" spans="1:4" x14ac:dyDescent="0.2">
      <c r="A276" s="5">
        <v>215</v>
      </c>
      <c r="B276" s="138">
        <f>'Assets-Liab 5-6'!M19</f>
        <v>92496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1619294</v>
      </c>
      <c r="C279" s="2" t="s">
        <v>573</v>
      </c>
      <c r="D279" s="2" t="str">
        <f t="shared" si="3"/>
        <v>Error?</v>
      </c>
    </row>
    <row r="280" spans="1:4" x14ac:dyDescent="0.2">
      <c r="A280" s="5">
        <v>219</v>
      </c>
      <c r="B280" s="138">
        <f>'Assets-Liab 5-6'!M40</f>
        <v>1619294</v>
      </c>
      <c r="D280" s="2" t="str">
        <f t="shared" si="3"/>
        <v>Error?</v>
      </c>
    </row>
    <row r="281" spans="1:4" x14ac:dyDescent="0.2">
      <c r="A281" s="5">
        <v>220</v>
      </c>
      <c r="B281" s="138">
        <f>'Assets-Liab 5-6'!M41</f>
        <v>1619294</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21706</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4881149</v>
      </c>
      <c r="C720" s="2" t="s">
        <v>573</v>
      </c>
      <c r="D720" s="2" t="str">
        <f t="shared" si="10"/>
        <v>Error?</v>
      </c>
    </row>
    <row r="721" spans="1:4" x14ac:dyDescent="0.2">
      <c r="A721" s="5">
        <v>660</v>
      </c>
      <c r="B721" s="138">
        <f>'Expenditures 15-22'!C36</f>
        <v>82633</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360990</v>
      </c>
      <c r="D723" s="2" t="str">
        <f t="shared" si="10"/>
        <v>Error?</v>
      </c>
    </row>
    <row r="724" spans="1:4" x14ac:dyDescent="0.2">
      <c r="A724" s="5">
        <v>663</v>
      </c>
      <c r="B724" s="138">
        <f>'Expenditures 15-22'!C39</f>
        <v>163188</v>
      </c>
      <c r="D724" s="2" t="str">
        <f t="shared" si="10"/>
        <v>Error?</v>
      </c>
    </row>
    <row r="725" spans="1:4" x14ac:dyDescent="0.2">
      <c r="A725" s="5">
        <v>664</v>
      </c>
      <c r="B725" s="138">
        <f>'Expenditures 15-22'!C40</f>
        <v>346385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953196</v>
      </c>
      <c r="C727" s="2" t="s">
        <v>573</v>
      </c>
      <c r="D727" s="2" t="str">
        <f t="shared" si="10"/>
        <v>Error?</v>
      </c>
    </row>
    <row r="728" spans="1:4" x14ac:dyDescent="0.2">
      <c r="A728" s="5">
        <v>667</v>
      </c>
      <c r="B728" s="138">
        <f>'Expenditures 15-22'!C44</f>
        <v>54702</v>
      </c>
      <c r="D728" s="2" t="str">
        <f t="shared" si="10"/>
        <v>Error?</v>
      </c>
    </row>
    <row r="729" spans="1:4" x14ac:dyDescent="0.2">
      <c r="A729" s="5">
        <v>668</v>
      </c>
      <c r="B729" s="138">
        <f>'Expenditures 15-22'!C45</f>
        <v>0</v>
      </c>
      <c r="D729" s="2" t="str">
        <f t="shared" si="10"/>
        <v>Error?</v>
      </c>
    </row>
    <row r="730" spans="1:4" x14ac:dyDescent="0.2">
      <c r="A730" s="5">
        <v>669</v>
      </c>
      <c r="B730" s="138">
        <f>'Expenditures 15-22'!C46</f>
        <v>115319</v>
      </c>
      <c r="D730" s="2" t="str">
        <f t="shared" si="10"/>
        <v>Error?</v>
      </c>
    </row>
    <row r="731" spans="1:4" x14ac:dyDescent="0.2">
      <c r="A731" s="5">
        <v>670</v>
      </c>
      <c r="B731" s="138">
        <f>'Expenditures 15-22'!C47</f>
        <v>170021</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291504</v>
      </c>
      <c r="D733" s="2" t="str">
        <f t="shared" si="10"/>
        <v>Error?</v>
      </c>
    </row>
    <row r="734" spans="1:4" x14ac:dyDescent="0.2">
      <c r="A734" s="5">
        <v>673</v>
      </c>
      <c r="B734" s="138">
        <f>'Expenditures 15-22'!C53</f>
        <v>291504</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92499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92499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1507220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6388369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6697</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1735718</v>
      </c>
      <c r="C778" s="2" t="s">
        <v>573</v>
      </c>
      <c r="D778" s="2" t="str">
        <f t="shared" si="11"/>
        <v>Error?</v>
      </c>
    </row>
    <row r="779" spans="1:4" x14ac:dyDescent="0.2">
      <c r="A779" s="5">
        <v>718</v>
      </c>
      <c r="B779" s="138">
        <f>'Expenditures 15-22'!D36</f>
        <v>28832</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103662</v>
      </c>
      <c r="D781" s="2" t="str">
        <f t="shared" si="11"/>
        <v>Error?</v>
      </c>
    </row>
    <row r="782" spans="1:4" x14ac:dyDescent="0.2">
      <c r="A782" s="5">
        <v>721</v>
      </c>
      <c r="B782" s="138">
        <f>'Expenditures 15-22'!D39</f>
        <v>34795</v>
      </c>
      <c r="D782" s="2" t="str">
        <f t="shared" si="11"/>
        <v>Error?</v>
      </c>
    </row>
    <row r="783" spans="1:4" x14ac:dyDescent="0.2">
      <c r="A783" s="5">
        <v>722</v>
      </c>
      <c r="B783" s="138">
        <f>'Expenditures 15-22'!D40</f>
        <v>93608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260897</v>
      </c>
      <c r="C785" s="2" t="s">
        <v>573</v>
      </c>
      <c r="D785" s="2" t="str">
        <f t="shared" si="11"/>
        <v>Error?</v>
      </c>
    </row>
    <row r="786" spans="1:4" x14ac:dyDescent="0.2">
      <c r="A786" s="5">
        <v>725</v>
      </c>
      <c r="B786" s="138">
        <f>'Expenditures 15-22'!D44</f>
        <v>8332</v>
      </c>
      <c r="D786" s="2" t="str">
        <f t="shared" si="11"/>
        <v>Error?</v>
      </c>
    </row>
    <row r="787" spans="1:4" x14ac:dyDescent="0.2">
      <c r="A787" s="5">
        <v>726</v>
      </c>
      <c r="B787" s="138">
        <f>'Expenditures 15-22'!D45</f>
        <v>0</v>
      </c>
      <c r="D787" s="2" t="str">
        <f t="shared" si="11"/>
        <v>Error?</v>
      </c>
    </row>
    <row r="788" spans="1:4" x14ac:dyDescent="0.2">
      <c r="A788" s="5">
        <v>727</v>
      </c>
      <c r="B788" s="138">
        <f>'Expenditures 15-22'!D46</f>
        <v>26785</v>
      </c>
      <c r="D788" s="2" t="str">
        <f t="shared" si="11"/>
        <v>Error?</v>
      </c>
    </row>
    <row r="789" spans="1:4" x14ac:dyDescent="0.2">
      <c r="A789" s="5">
        <v>728</v>
      </c>
      <c r="B789" s="138">
        <f>'Expenditures 15-22'!D47</f>
        <v>35117</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102220</v>
      </c>
      <c r="D791" s="2" t="str">
        <f t="shared" si="11"/>
        <v>Error?</v>
      </c>
    </row>
    <row r="792" spans="1:4" x14ac:dyDescent="0.2">
      <c r="A792" s="5">
        <v>731</v>
      </c>
      <c r="B792" s="138">
        <f>'Expenditures 15-22'!D53</f>
        <v>103987</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38088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38088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438089</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2173807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86</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114122</v>
      </c>
      <c r="C836" s="2" t="s">
        <v>573</v>
      </c>
      <c r="D836" s="2" t="str">
        <f t="shared" si="12"/>
        <v>Error?</v>
      </c>
    </row>
    <row r="837" spans="1:4" x14ac:dyDescent="0.2">
      <c r="A837" s="5">
        <v>776</v>
      </c>
      <c r="B837" s="138">
        <f>'Expenditures 15-22'!E36</f>
        <v>4631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89723</v>
      </c>
      <c r="D839" s="2" t="str">
        <f t="shared" si="12"/>
        <v>Error?</v>
      </c>
    </row>
    <row r="840" spans="1:4" x14ac:dyDescent="0.2">
      <c r="A840" s="5">
        <v>779</v>
      </c>
      <c r="B840" s="138">
        <f>'Expenditures 15-22'!E39</f>
        <v>3854</v>
      </c>
      <c r="D840" s="2" t="str">
        <f t="shared" si="12"/>
        <v>Error?</v>
      </c>
    </row>
    <row r="841" spans="1:4" x14ac:dyDescent="0.2">
      <c r="A841" s="5">
        <v>780</v>
      </c>
      <c r="B841" s="138">
        <f>'Expenditures 15-22'!E40</f>
        <v>4929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103137</v>
      </c>
      <c r="C843" s="2" t="s">
        <v>573</v>
      </c>
      <c r="D843" s="2" t="str">
        <f t="shared" si="12"/>
        <v>Error?</v>
      </c>
    </row>
    <row r="844" spans="1:4" x14ac:dyDescent="0.2">
      <c r="A844" s="5">
        <v>783</v>
      </c>
      <c r="B844" s="138">
        <f>'Expenditures 15-22'!E44</f>
        <v>62850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14949</v>
      </c>
      <c r="D846" s="2" t="str">
        <f t="shared" si="12"/>
        <v>Error?</v>
      </c>
    </row>
    <row r="847" spans="1:4" x14ac:dyDescent="0.2">
      <c r="A847" s="5">
        <v>786</v>
      </c>
      <c r="B847" s="138">
        <f>'Expenditures 15-22'!E47</f>
        <v>77799</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311286</v>
      </c>
      <c r="D849" s="2" t="str">
        <f t="shared" si="12"/>
        <v>Error?</v>
      </c>
    </row>
    <row r="850" spans="1:4" x14ac:dyDescent="0.2">
      <c r="A850" s="5">
        <v>789</v>
      </c>
      <c r="B850" s="138">
        <f>'Expenditures 15-22'!E53</f>
        <v>311286</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681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681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27230</v>
      </c>
      <c r="D867" s="2" t="str">
        <f t="shared" si="12"/>
        <v>Error?</v>
      </c>
    </row>
    <row r="868" spans="1:4" x14ac:dyDescent="0.2">
      <c r="A868" s="10">
        <v>807</v>
      </c>
      <c r="D868" s="2" t="str">
        <f t="shared" si="12"/>
        <v>OK</v>
      </c>
    </row>
    <row r="869" spans="1:4" x14ac:dyDescent="0.2">
      <c r="A869" s="5">
        <v>808</v>
      </c>
      <c r="B869" s="138">
        <f>'Expenditures 15-22'!E72</f>
        <v>27230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520133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634572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90847</v>
      </c>
      <c r="C894" s="2" t="s">
        <v>573</v>
      </c>
      <c r="D894" s="2" t="str">
        <f t="shared" si="12"/>
        <v>Error?</v>
      </c>
    </row>
    <row r="895" spans="1:4" x14ac:dyDescent="0.2">
      <c r="A895" s="5">
        <v>834</v>
      </c>
      <c r="B895" s="138">
        <f>'Expenditures 15-22'!F36</f>
        <v>2029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2972</v>
      </c>
      <c r="D897" s="2" t="str">
        <f t="shared" si="13"/>
        <v>Error?</v>
      </c>
    </row>
    <row r="898" spans="1:4" x14ac:dyDescent="0.2">
      <c r="A898" s="5">
        <v>837</v>
      </c>
      <c r="B898" s="138">
        <f>'Expenditures 15-22'!F39</f>
        <v>386</v>
      </c>
      <c r="D898" s="2" t="str">
        <f t="shared" si="13"/>
        <v>Error?</v>
      </c>
    </row>
    <row r="899" spans="1:4" x14ac:dyDescent="0.2">
      <c r="A899" s="5">
        <v>838</v>
      </c>
      <c r="B899" s="138">
        <f>'Expenditures 15-22'!F40</f>
        <v>3582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8969</v>
      </c>
      <c r="C901" s="2" t="s">
        <v>573</v>
      </c>
      <c r="D901" s="2" t="str">
        <f t="shared" si="13"/>
        <v>Error?</v>
      </c>
    </row>
    <row r="902" spans="1:4" x14ac:dyDescent="0.2">
      <c r="A902" s="5">
        <v>841</v>
      </c>
      <c r="B902" s="138">
        <f>'Expenditures 15-22'!F44</f>
        <v>6013</v>
      </c>
      <c r="D902" s="2" t="str">
        <f t="shared" si="13"/>
        <v>Error?</v>
      </c>
    </row>
    <row r="903" spans="1:4" x14ac:dyDescent="0.2">
      <c r="A903" s="5">
        <v>842</v>
      </c>
      <c r="B903" s="138">
        <f>'Expenditures 15-22'!F45</f>
        <v>0</v>
      </c>
      <c r="D903" s="2" t="str">
        <f t="shared" si="13"/>
        <v>Error?</v>
      </c>
    </row>
    <row r="904" spans="1:4" x14ac:dyDescent="0.2">
      <c r="A904" s="5">
        <v>843</v>
      </c>
      <c r="B904" s="138">
        <f>'Expenditures 15-22'!F46</f>
        <v>938</v>
      </c>
      <c r="D904" s="2" t="str">
        <f t="shared" si="13"/>
        <v>Error?</v>
      </c>
    </row>
    <row r="905" spans="1:4" x14ac:dyDescent="0.2">
      <c r="A905" s="5">
        <v>844</v>
      </c>
      <c r="B905" s="138">
        <f>'Expenditures 15-22'!F47</f>
        <v>6951</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75223</v>
      </c>
      <c r="D907" s="2" t="str">
        <f t="shared" si="13"/>
        <v>Error?</v>
      </c>
    </row>
    <row r="908" spans="1:4" x14ac:dyDescent="0.2">
      <c r="A908" s="5">
        <v>847</v>
      </c>
      <c r="B908" s="138">
        <f>'Expenditures 15-22'!F53</f>
        <v>75223</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91196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182043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38738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72942</v>
      </c>
      <c r="D965" s="2" t="str">
        <f t="shared" si="14"/>
        <v>Error?</v>
      </c>
    </row>
    <row r="966" spans="1:4" x14ac:dyDescent="0.2">
      <c r="A966" s="5">
        <v>905</v>
      </c>
      <c r="B966" s="138">
        <f>'Expenditures 15-22'!G53</f>
        <v>72942</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42453</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42453</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115395</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154133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4480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4480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37996</v>
      </c>
      <c r="D1044" s="2" t="str">
        <f t="shared" si="15"/>
        <v>Error?</v>
      </c>
    </row>
    <row r="1045" spans="1:4" x14ac:dyDescent="0.2">
      <c r="A1045" s="5">
        <v>984</v>
      </c>
      <c r="B1045" s="138">
        <f>'Expenditures 15-22'!H74</f>
        <v>42476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2090433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2132909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28489</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6860574</v>
      </c>
      <c r="C1108" s="2" t="s">
        <v>573</v>
      </c>
      <c r="D1108" s="2" t="str">
        <f t="shared" si="16"/>
        <v>Error?</v>
      </c>
    </row>
    <row r="1109" spans="1:4" x14ac:dyDescent="0.2">
      <c r="A1109" s="5">
        <v>1048</v>
      </c>
      <c r="B1109" s="138">
        <f>'Expenditures 15-22'!K36</f>
        <v>118125</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557347</v>
      </c>
      <c r="C1111" s="2" t="s">
        <v>573</v>
      </c>
      <c r="D1111" s="2" t="str">
        <f t="shared" si="16"/>
        <v>Error?</v>
      </c>
    </row>
    <row r="1112" spans="1:4" x14ac:dyDescent="0.2">
      <c r="A1112" s="5">
        <v>1051</v>
      </c>
      <c r="B1112" s="138">
        <f>'Expenditures 15-22'!K39</f>
        <v>202223</v>
      </c>
      <c r="C1112" s="2" t="s">
        <v>573</v>
      </c>
      <c r="D1112" s="2" t="str">
        <f t="shared" si="16"/>
        <v>Error?</v>
      </c>
    </row>
    <row r="1113" spans="1:4" x14ac:dyDescent="0.2">
      <c r="A1113" s="5">
        <v>1052</v>
      </c>
      <c r="B1113" s="138">
        <f>'Expenditures 15-22'!K40</f>
        <v>448504</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1326199</v>
      </c>
      <c r="C1115" s="2" t="s">
        <v>573</v>
      </c>
      <c r="D1115" s="2" t="str">
        <f t="shared" si="16"/>
        <v>Error?</v>
      </c>
    </row>
    <row r="1116" spans="1:4" x14ac:dyDescent="0.2">
      <c r="A1116" s="5">
        <v>1055</v>
      </c>
      <c r="B1116" s="138">
        <f>'Expenditures 15-22'!K44</f>
        <v>136377</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157991</v>
      </c>
      <c r="C1118" s="2" t="s">
        <v>573</v>
      </c>
      <c r="D1118" s="2" t="str">
        <f t="shared" si="16"/>
        <v>Error?</v>
      </c>
    </row>
    <row r="1119" spans="1:4" x14ac:dyDescent="0.2">
      <c r="A1119" s="5">
        <v>1058</v>
      </c>
      <c r="B1119" s="138">
        <f>'Expenditures 15-22'!K47</f>
        <v>294368</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853175</v>
      </c>
      <c r="C1121" s="2" t="s">
        <v>573</v>
      </c>
      <c r="D1121" s="2" t="str">
        <f t="shared" si="16"/>
        <v>Error?</v>
      </c>
    </row>
    <row r="1122" spans="1:4" x14ac:dyDescent="0.2">
      <c r="A1122" s="5">
        <v>1061</v>
      </c>
      <c r="B1122" s="138">
        <f>'Expenditures 15-22'!K53</f>
        <v>854942</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131321</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42453</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173774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27230</v>
      </c>
      <c r="C1139" s="2" t="s">
        <v>573</v>
      </c>
      <c r="D1139" s="2" t="str">
        <f t="shared" si="16"/>
        <v>Error?</v>
      </c>
    </row>
    <row r="1140" spans="1:4" x14ac:dyDescent="0.2">
      <c r="A1140" s="10">
        <v>1079</v>
      </c>
      <c r="D1140" s="2" t="str">
        <f t="shared" si="16"/>
        <v>OK</v>
      </c>
    </row>
    <row r="1141" spans="1:4" x14ac:dyDescent="0.2">
      <c r="A1141" s="5">
        <v>1080</v>
      </c>
      <c r="B1141" s="138">
        <f>'Expenditures 15-22'!K72</f>
        <v>27230</v>
      </c>
      <c r="C1141" s="2" t="s">
        <v>573</v>
      </c>
      <c r="D1141" s="2" t="str">
        <f t="shared" si="16"/>
        <v>Error?</v>
      </c>
    </row>
    <row r="1142" spans="1:4" x14ac:dyDescent="0.2">
      <c r="A1142" s="5">
        <v>1081</v>
      </c>
      <c r="B1142" s="138">
        <f>'Expenditures 15-22'!K73</f>
        <v>37996</v>
      </c>
      <c r="C1142" s="2" t="s">
        <v>573</v>
      </c>
      <c r="D1142" s="2" t="str">
        <f t="shared" si="16"/>
        <v>Error?</v>
      </c>
    </row>
    <row r="1143" spans="1:4" x14ac:dyDescent="0.2">
      <c r="A1143" s="5">
        <v>1082</v>
      </c>
      <c r="B1143" s="138">
        <f>'Expenditures 15-22'!K74</f>
        <v>2714509</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2090750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11665833</v>
      </c>
      <c r="C1152" s="2" t="s">
        <v>573</v>
      </c>
      <c r="D1152" s="2" t="str">
        <f t="shared" si="17"/>
        <v>Error?</v>
      </c>
    </row>
    <row r="1153" spans="1:4" x14ac:dyDescent="0.2">
      <c r="A1153" s="5">
        <v>1092</v>
      </c>
      <c r="B1153" s="138">
        <f>'Expenditures 15-22'!K115</f>
        <v>373080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12072</v>
      </c>
      <c r="D1221" s="2" t="str">
        <f t="shared" si="18"/>
        <v>Error?</v>
      </c>
    </row>
    <row r="1222" spans="1:4" x14ac:dyDescent="0.2">
      <c r="A1222" s="10">
        <v>1161</v>
      </c>
      <c r="D1222" s="2" t="str">
        <f t="shared" si="18"/>
        <v>OK</v>
      </c>
    </row>
    <row r="1223" spans="1:4" x14ac:dyDescent="0.2">
      <c r="A1223" s="5">
        <v>1162</v>
      </c>
      <c r="B1223" s="138">
        <f>'Expenditures 15-22'!C127</f>
        <v>12072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12072</v>
      </c>
      <c r="C1225" s="2" t="s">
        <v>573</v>
      </c>
      <c r="D1225" s="2" t="str">
        <f t="shared" si="18"/>
        <v>Error?</v>
      </c>
    </row>
    <row r="1226" spans="1:4" x14ac:dyDescent="0.2">
      <c r="A1226" s="5">
        <v>1165</v>
      </c>
      <c r="B1226" s="138">
        <f>'Expenditures 15-22'!C151</f>
        <v>12072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1968</v>
      </c>
      <c r="D1229" s="2" t="str">
        <f t="shared" si="18"/>
        <v>Error?</v>
      </c>
    </row>
    <row r="1230" spans="1:4" x14ac:dyDescent="0.2">
      <c r="A1230" s="10">
        <v>1169</v>
      </c>
      <c r="D1230" s="2" t="str">
        <f t="shared" si="18"/>
        <v>OK</v>
      </c>
    </row>
    <row r="1231" spans="1:4" x14ac:dyDescent="0.2">
      <c r="A1231" s="5">
        <v>1170</v>
      </c>
      <c r="B1231" s="138">
        <f>'Expenditures 15-22'!D127</f>
        <v>1968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1968</v>
      </c>
      <c r="C1233" s="2" t="s">
        <v>573</v>
      </c>
      <c r="D1233" s="2" t="str">
        <f t="shared" si="18"/>
        <v>Error?</v>
      </c>
    </row>
    <row r="1234" spans="1:4" x14ac:dyDescent="0.2">
      <c r="A1234" s="5">
        <v>1173</v>
      </c>
      <c r="B1234" s="138">
        <f>'Expenditures 15-22'!D151</f>
        <v>1968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25157</v>
      </c>
      <c r="D1237" s="2" t="str">
        <f t="shared" si="18"/>
        <v>Error?</v>
      </c>
    </row>
    <row r="1238" spans="1:4" x14ac:dyDescent="0.2">
      <c r="A1238" s="10">
        <v>1177</v>
      </c>
      <c r="D1238" s="2" t="str">
        <f t="shared" si="18"/>
        <v>OK</v>
      </c>
    </row>
    <row r="1239" spans="1:4" x14ac:dyDescent="0.2">
      <c r="A1239" s="5">
        <v>1178</v>
      </c>
      <c r="B1239" s="138">
        <f>'Expenditures 15-22'!E127</f>
        <v>25157</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25157</v>
      </c>
      <c r="C1241" s="2" t="s">
        <v>573</v>
      </c>
      <c r="D1241" s="2" t="str">
        <f t="shared" si="18"/>
        <v>Error?</v>
      </c>
    </row>
    <row r="1242" spans="1:4" x14ac:dyDescent="0.2">
      <c r="A1242" s="5">
        <v>1181</v>
      </c>
      <c r="B1242" s="138">
        <f>'Expenditures 15-22'!E151</f>
        <v>25157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17468</v>
      </c>
      <c r="D1245" s="2" t="str">
        <f t="shared" si="18"/>
        <v>Error?</v>
      </c>
    </row>
    <row r="1246" spans="1:4" x14ac:dyDescent="0.2">
      <c r="A1246" s="10">
        <v>1185</v>
      </c>
      <c r="D1246" s="2" t="str">
        <f t="shared" si="18"/>
        <v>OK</v>
      </c>
    </row>
    <row r="1247" spans="1:4" x14ac:dyDescent="0.2">
      <c r="A1247" s="5">
        <v>1186</v>
      </c>
      <c r="B1247" s="138">
        <f>'Expenditures 15-22'!F127</f>
        <v>17468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17468</v>
      </c>
      <c r="C1249" s="2" t="s">
        <v>573</v>
      </c>
      <c r="D1249" s="2" t="str">
        <f t="shared" si="18"/>
        <v>Error?</v>
      </c>
    </row>
    <row r="1250" spans="1:4" x14ac:dyDescent="0.2">
      <c r="A1250" s="5">
        <v>1189</v>
      </c>
      <c r="B1250" s="138">
        <f>'Expenditures 15-22'!F151</f>
        <v>17468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71231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71231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71231</v>
      </c>
      <c r="C1258" s="2" t="s">
        <v>573</v>
      </c>
      <c r="D1258" s="2" t="str">
        <f t="shared" si="18"/>
        <v>Error?</v>
      </c>
    </row>
    <row r="1259" spans="1:4" x14ac:dyDescent="0.2">
      <c r="A1259" s="5">
        <v>1198</v>
      </c>
      <c r="B1259" s="138">
        <f>'Expenditures 15-22'!G151</f>
        <v>71231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127896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127896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127896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127896</v>
      </c>
      <c r="C1288" s="2" t="s">
        <v>573</v>
      </c>
      <c r="D1288" s="2" t="str">
        <f t="shared" si="19"/>
        <v>Error?</v>
      </c>
    </row>
    <row r="1289" spans="1:4" x14ac:dyDescent="0.2">
      <c r="A1289" s="5">
        <v>1228</v>
      </c>
      <c r="B1289" s="138">
        <f>'Expenditures 15-22'!K152</f>
        <v>-127896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2081631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2326815</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74871</v>
      </c>
      <c r="D2008" s="2" t="str">
        <f t="shared" si="30"/>
        <v>Error?</v>
      </c>
    </row>
    <row r="2009" spans="1:4" x14ac:dyDescent="0.2">
      <c r="A2009" s="5">
        <v>1948</v>
      </c>
      <c r="B2009" s="138">
        <f>'Cap Outlay Deprec 26'!C8</f>
        <v>2345285</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1398494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3818650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68022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104294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172316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74871</v>
      </c>
      <c r="C2026" s="2" t="s">
        <v>573</v>
      </c>
      <c r="D2026" s="2" t="str">
        <f t="shared" si="30"/>
        <v>Error?</v>
      </c>
    </row>
    <row r="2027" spans="1:4" x14ac:dyDescent="0.2">
      <c r="A2027" s="5">
        <v>1966</v>
      </c>
      <c r="B2027" s="138">
        <f>'Cap Outlay Deprec 26'!F8</f>
        <v>2413307</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1502788</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3990966</v>
      </c>
      <c r="C2031" s="2" t="s">
        <v>573</v>
      </c>
      <c r="D2031" s="2" t="str">
        <f t="shared" si="30"/>
        <v>Error?</v>
      </c>
    </row>
    <row r="2032" spans="1:4" x14ac:dyDescent="0.2">
      <c r="A2032" s="10">
        <v>1971</v>
      </c>
      <c r="D2032" s="2" t="str">
        <f t="shared" si="30"/>
        <v>OK</v>
      </c>
    </row>
    <row r="2033" spans="1:4" x14ac:dyDescent="0.2">
      <c r="A2033" s="5">
        <v>1972</v>
      </c>
      <c r="B2033" s="138">
        <f>'Cap Outlay Deprec 26'!H8</f>
        <v>902380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1375818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2278198</v>
      </c>
      <c r="C2037" s="2" t="s">
        <v>573</v>
      </c>
      <c r="D2037" s="2" t="str">
        <f t="shared" si="30"/>
        <v>Error?</v>
      </c>
    </row>
    <row r="2038" spans="1:4" x14ac:dyDescent="0.2">
      <c r="A2038" s="10">
        <v>1977</v>
      </c>
      <c r="D2038" s="2" t="str">
        <f t="shared" si="30"/>
        <v>OK</v>
      </c>
    </row>
    <row r="2039" spans="1:4" x14ac:dyDescent="0.2">
      <c r="A2039" s="5">
        <v>1978</v>
      </c>
      <c r="B2039" s="138">
        <f>'Cap Outlay Deprec 26'!I8</f>
        <v>59000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34474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93474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961380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1410292</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2371672</v>
      </c>
      <c r="C2055" s="2" t="s">
        <v>573</v>
      </c>
      <c r="D2055" s="2" t="str">
        <f t="shared" si="31"/>
        <v>Error?</v>
      </c>
    </row>
    <row r="2056" spans="1:4" x14ac:dyDescent="0.2">
      <c r="A2056" s="5">
        <v>1995</v>
      </c>
      <c r="B2056" s="138">
        <f>'Cap Outlay Deprec 26'!L5</f>
        <v>74871</v>
      </c>
      <c r="C2056" s="2" t="s">
        <v>573</v>
      </c>
      <c r="D2056" s="2" t="str">
        <f t="shared" si="31"/>
        <v>Error?</v>
      </c>
    </row>
    <row r="2057" spans="1:4" x14ac:dyDescent="0.2">
      <c r="A2057" s="5">
        <v>1996</v>
      </c>
      <c r="B2057" s="138">
        <f>'Cap Outlay Deprec 26'!L8</f>
        <v>1451927</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92496</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1619294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2090433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2090750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612861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7972592</v>
      </c>
      <c r="C2551" s="2" t="s">
        <v>573</v>
      </c>
      <c r="D2551" s="2" t="str">
        <f t="shared" si="38"/>
        <v>Error?</v>
      </c>
    </row>
    <row r="2552" spans="1:4" x14ac:dyDescent="0.2">
      <c r="A2552" s="10">
        <v>2491</v>
      </c>
      <c r="D2552" s="2" t="str">
        <f t="shared" si="38"/>
        <v>OK</v>
      </c>
    </row>
    <row r="2553" spans="1:4" x14ac:dyDescent="0.2">
      <c r="A2553" s="5">
        <v>2492</v>
      </c>
      <c r="B2553" s="138">
        <f>'Acct Summary 7-8'!C6</f>
        <v>909515</v>
      </c>
      <c r="C2553" s="2" t="s">
        <v>573</v>
      </c>
      <c r="D2553" s="2" t="str">
        <f t="shared" si="38"/>
        <v>Error?</v>
      </c>
    </row>
    <row r="2554" spans="1:4" x14ac:dyDescent="0.2">
      <c r="A2554" s="5">
        <v>2493</v>
      </c>
      <c r="B2554" s="138">
        <f>'Acct Summary 7-8'!C7</f>
        <v>2985479</v>
      </c>
      <c r="C2554" s="2" t="s">
        <v>573</v>
      </c>
      <c r="D2554" s="2" t="str">
        <f t="shared" si="38"/>
        <v>Error?</v>
      </c>
    </row>
    <row r="2555" spans="1:4" x14ac:dyDescent="0.2">
      <c r="A2555" s="5">
        <v>2494</v>
      </c>
      <c r="B2555" s="138">
        <f>'Acct Summary 7-8'!C8</f>
        <v>12038913</v>
      </c>
      <c r="C2555" s="2" t="s">
        <v>573</v>
      </c>
      <c r="D2555" s="2" t="str">
        <f t="shared" si="38"/>
        <v>Error?</v>
      </c>
    </row>
    <row r="2556" spans="1:4" x14ac:dyDescent="0.2">
      <c r="A2556" s="5">
        <v>2495</v>
      </c>
      <c r="B2556" s="138">
        <f>'Acct Summary 7-8'!C12</f>
        <v>6860574</v>
      </c>
      <c r="C2556" s="2" t="s">
        <v>573</v>
      </c>
      <c r="D2556" s="2" t="str">
        <f t="shared" si="38"/>
        <v>Error?</v>
      </c>
    </row>
    <row r="2557" spans="1:4" x14ac:dyDescent="0.2">
      <c r="A2557" s="5">
        <v>2496</v>
      </c>
      <c r="B2557" s="138">
        <f>'Acct Summary 7-8'!C13</f>
        <v>2714509</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2090750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11665833</v>
      </c>
      <c r="C2561" s="2" t="s">
        <v>573</v>
      </c>
      <c r="D2561" s="2" t="str">
        <f t="shared" si="39"/>
        <v>Error?</v>
      </c>
    </row>
    <row r="2562" spans="1:4" x14ac:dyDescent="0.2">
      <c r="A2562" s="5">
        <v>2501</v>
      </c>
      <c r="B2562" s="138">
        <f>'Acct Summary 7-8'!C20</f>
        <v>373080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127896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127896</v>
      </c>
      <c r="C2573" s="2" t="s">
        <v>573</v>
      </c>
      <c r="D2573" s="2" t="str">
        <f t="shared" si="39"/>
        <v>Error?</v>
      </c>
    </row>
    <row r="2574" spans="1:4" x14ac:dyDescent="0.2">
      <c r="A2574" s="5">
        <v>2513</v>
      </c>
      <c r="B2574" s="138">
        <f>'Acct Summary 7-8'!D20</f>
        <v>-127896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317</v>
      </c>
      <c r="C2789" s="2" t="s">
        <v>573</v>
      </c>
      <c r="D2789" s="2" t="str">
        <f t="shared" si="42"/>
        <v>Error?</v>
      </c>
    </row>
    <row r="2790" spans="1:4" x14ac:dyDescent="0.2">
      <c r="A2790" s="5">
        <v>2729</v>
      </c>
      <c r="B2790" s="138">
        <f>'Expenditures 15-22'!E102</f>
        <v>317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1356421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3579</v>
      </c>
      <c r="D2914" s="2" t="str">
        <f t="shared" si="44"/>
        <v>Error?</v>
      </c>
    </row>
    <row r="2915" spans="1:4" x14ac:dyDescent="0.2">
      <c r="A2915" s="10">
        <v>2854</v>
      </c>
      <c r="D2915" s="2" t="str">
        <f t="shared" si="44"/>
        <v>OK</v>
      </c>
    </row>
    <row r="2916" spans="1:4" x14ac:dyDescent="0.2">
      <c r="A2916" s="5">
        <v>2855</v>
      </c>
      <c r="B2916" s="138">
        <f>'Assets-Liab 5-6'!L34</f>
        <v>3579</v>
      </c>
      <c r="C2916" s="2" t="s">
        <v>573</v>
      </c>
      <c r="D2916" s="2" t="str">
        <f t="shared" si="44"/>
        <v>Error?</v>
      </c>
    </row>
    <row r="2917" spans="1:4" x14ac:dyDescent="0.2">
      <c r="A2917" s="5">
        <v>2856</v>
      </c>
      <c r="B2917" s="138">
        <f>'Assets-Liab 5-6'!L41</f>
        <v>1356421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317</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1119106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971327</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1119106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971644</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103970</v>
      </c>
      <c r="D3055" s="2" t="str">
        <f t="shared" si="46"/>
        <v>Error?</v>
      </c>
    </row>
    <row r="3056" spans="1:4" x14ac:dyDescent="0.2">
      <c r="A3056" s="5">
        <v>2995</v>
      </c>
      <c r="B3056" s="138">
        <f>'Expenditures 15-22'!D10</f>
        <v>29203</v>
      </c>
      <c r="D3056" s="2" t="str">
        <f t="shared" si="46"/>
        <v>Error?</v>
      </c>
    </row>
    <row r="3057" spans="1:4" x14ac:dyDescent="0.2">
      <c r="A3057" s="5">
        <v>2996</v>
      </c>
      <c r="B3057" s="138">
        <f>'Expenditures 15-22'!E10</f>
        <v>6225</v>
      </c>
      <c r="D3057" s="2" t="str">
        <f t="shared" si="46"/>
        <v>Error?</v>
      </c>
    </row>
    <row r="3058" spans="1:4" x14ac:dyDescent="0.2">
      <c r="A3058" s="5">
        <v>2997</v>
      </c>
      <c r="B3058" s="138">
        <f>'Expenditures 15-22'!F10</f>
        <v>1965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141363</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1352842</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127896</v>
      </c>
      <c r="C3231" s="2" t="s">
        <v>573</v>
      </c>
      <c r="D3231" s="2" t="str">
        <f t="shared" si="49"/>
        <v>Error?</v>
      </c>
    </row>
    <row r="3232" spans="1:4" x14ac:dyDescent="0.2">
      <c r="A3232" s="5">
        <v>3171</v>
      </c>
      <c r="B3232" s="138">
        <f>'Acct Summary 7-8'!C77</f>
        <v>-127896</v>
      </c>
      <c r="C3232" s="2" t="s">
        <v>573</v>
      </c>
      <c r="D3232" s="2" t="str">
        <f t="shared" si="49"/>
        <v>Error?</v>
      </c>
    </row>
    <row r="3233" spans="1:4" x14ac:dyDescent="0.2">
      <c r="A3233" s="5">
        <v>3172</v>
      </c>
      <c r="B3233" s="138">
        <f>'Acct Summary 7-8'!C78</f>
        <v>245184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127896</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127896</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4755473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1699818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107811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88882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38738</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6690722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171327</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2326815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1356421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441359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12480272</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441359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12107192</v>
      </c>
      <c r="C4136" s="2" t="s">
        <v>573</v>
      </c>
      <c r="D4136" s="2" t="str">
        <f t="shared" si="63"/>
        <v>Error?</v>
      </c>
    </row>
    <row r="4137" spans="1:4" x14ac:dyDescent="0.2">
      <c r="A4137" s="5">
        <v>4076</v>
      </c>
      <c r="B4137" s="138">
        <f>'Acct Summary 7-8'!D19</f>
        <v>127896</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2326815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56827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349546</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127896</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127896</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7131749</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7131749</v>
      </c>
      <c r="C5087" s="2" t="s">
        <v>573</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824145</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16698</v>
      </c>
      <c r="D5119" s="2" t="str">
        <f t="shared" ref="D5119:D5182" si="79">IF(ISBLANK(B5119),"OK",IF(A5119-B5119=0,"OK","Error?"))</f>
        <v>Error?</v>
      </c>
    </row>
    <row r="5120" spans="1:4" x14ac:dyDescent="0.2">
      <c r="A5120" s="5">
        <v>5059</v>
      </c>
      <c r="B5120" s="138">
        <f>'Revenues 9-14'!C108</f>
        <v>840843</v>
      </c>
      <c r="C5120" s="2" t="s">
        <v>573</v>
      </c>
      <c r="D5120" s="2" t="str">
        <f t="shared" si="79"/>
        <v>Error?</v>
      </c>
    </row>
    <row r="5121" spans="1:4" x14ac:dyDescent="0.2">
      <c r="A5121" s="5">
        <v>5060</v>
      </c>
      <c r="B5121" s="138">
        <f>'Revenues 9-14'!C109</f>
        <v>7972592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171327</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171327</v>
      </c>
      <c r="C5125" s="2" t="s">
        <v>573</v>
      </c>
      <c r="D5125" s="2" t="str">
        <f t="shared" si="79"/>
        <v>Error?</v>
      </c>
    </row>
    <row r="5126" spans="1:4" x14ac:dyDescent="0.2">
      <c r="A5126" s="5">
        <v>5065</v>
      </c>
      <c r="B5126" s="138">
        <f>'Revenues 9-14'!C117</f>
        <v>891746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891746</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17769</v>
      </c>
      <c r="D5177" s="2" t="str">
        <f t="shared" si="79"/>
        <v>Error?</v>
      </c>
    </row>
    <row r="5178" spans="1:4" x14ac:dyDescent="0.2">
      <c r="A5178" s="5">
        <v>5117</v>
      </c>
      <c r="B5178" s="138">
        <f>'Revenues 9-14'!C155</f>
        <v>17769</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17769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909515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50056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2529050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2579106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2985479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2985479</v>
      </c>
      <c r="C5326" s="2" t="s">
        <v>573</v>
      </c>
      <c r="D5326" s="2" t="str">
        <f t="shared" si="82"/>
        <v>Error?</v>
      </c>
    </row>
    <row r="5327" spans="1:5" x14ac:dyDescent="0.2">
      <c r="A5327" s="5">
        <v>5266</v>
      </c>
      <c r="B5327" s="138">
        <f>'Revenues 9-14'!C268</f>
        <v>12038913</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245184</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0.1053732247729192</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1767</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1767</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93474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196432</v>
      </c>
      <c r="D7797" s="2" t="str">
        <f t="shared" si="127"/>
        <v>Error?</v>
      </c>
      <c r="E7797" s="4" t="s">
        <v>1900</v>
      </c>
    </row>
    <row r="7798" spans="1:5" x14ac:dyDescent="0.2">
      <c r="A7798">
        <v>7737</v>
      </c>
      <c r="B7798" s="138">
        <f>'Contracts Paid in CY 29'!F141</f>
        <v>110967</v>
      </c>
      <c r="D7798" s="2" t="str">
        <f t="shared" si="127"/>
        <v>Error?</v>
      </c>
      <c r="E7798" s="4" t="s">
        <v>1900</v>
      </c>
    </row>
    <row r="7799" spans="1:5" x14ac:dyDescent="0.2">
      <c r="A7799">
        <v>7738</v>
      </c>
      <c r="B7799" s="138">
        <f>'Contracts Paid in CY 29'!G141</f>
        <v>85465</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59"/>
  <sheetViews>
    <sheetView showGridLines="0" showZeros="0" topLeftCell="A13" zoomScale="110" zoomScaleNormal="110" workbookViewId="0">
      <selection activeCell="L42" sqref="L42"/>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3" t="s">
        <v>1191</v>
      </c>
      <c r="B2" s="2383"/>
      <c r="C2" s="2383"/>
      <c r="D2" s="2383"/>
      <c r="E2" s="2383"/>
      <c r="F2" s="2383"/>
      <c r="G2" s="2383"/>
      <c r="H2" s="2383"/>
      <c r="I2" s="2383"/>
      <c r="J2" s="2383"/>
      <c r="K2" s="2383"/>
      <c r="L2" s="2383"/>
    </row>
    <row r="3" spans="1:29" ht="13.5" customHeight="1" x14ac:dyDescent="0.2">
      <c r="A3" s="2414" t="s">
        <v>1190</v>
      </c>
      <c r="B3" s="2414"/>
      <c r="C3" s="2414"/>
      <c r="D3" s="2414"/>
      <c r="E3" s="2414"/>
      <c r="F3" s="2414"/>
      <c r="G3" s="2414"/>
      <c r="H3" s="2414"/>
      <c r="I3" s="2414"/>
      <c r="J3" s="2414"/>
      <c r="K3" s="2414"/>
      <c r="L3" s="2414"/>
    </row>
    <row r="4" spans="1:29" ht="13.5" customHeight="1" x14ac:dyDescent="0.2">
      <c r="A4" s="2383" t="s">
        <v>1984</v>
      </c>
      <c r="B4" s="2404"/>
      <c r="C4" s="2404"/>
      <c r="D4" s="2404"/>
      <c r="E4" s="2404"/>
      <c r="F4" s="2404"/>
      <c r="G4" s="2404"/>
      <c r="H4" s="2404"/>
      <c r="I4" s="2404"/>
      <c r="J4" s="2404"/>
      <c r="K4" s="2404"/>
      <c r="L4" s="2404"/>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5" t="str">
        <f>COVER!A17</f>
        <v>Grundy County Spec Educ Coop</v>
      </c>
      <c r="B7" s="2406"/>
      <c r="C7" s="2406"/>
      <c r="D7" s="2407"/>
      <c r="E7" s="2408">
        <f>COVER!A13</f>
        <v>24032101061</v>
      </c>
      <c r="F7" s="2409"/>
      <c r="G7" s="2415" t="str">
        <f>COVER!T23</f>
        <v>066-005100</v>
      </c>
      <c r="H7" s="2416"/>
      <c r="I7" s="2416"/>
      <c r="J7" s="2416"/>
      <c r="K7" s="2416"/>
      <c r="L7" s="2417"/>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8"/>
      <c r="B9" s="2419"/>
      <c r="C9" s="2419"/>
      <c r="D9" s="2419"/>
      <c r="E9" s="2419"/>
      <c r="F9" s="2420"/>
      <c r="G9" s="2389" t="str">
        <f>COVER!T13</f>
        <v>Mack &amp; Associates, P.C.</v>
      </c>
      <c r="H9" s="2421"/>
      <c r="I9" s="2421"/>
      <c r="J9" s="2421"/>
      <c r="K9" s="2421"/>
      <c r="L9" s="2422"/>
    </row>
    <row r="10" spans="1:29" ht="13.5" customHeight="1" x14ac:dyDescent="0.2">
      <c r="A10" s="2395" t="str">
        <f>COVER!A38</f>
        <v>Neil Sanburg</v>
      </c>
      <c r="B10" s="2396"/>
      <c r="C10" s="2396"/>
      <c r="D10" s="2396"/>
      <c r="E10" s="2396"/>
      <c r="F10" s="2397"/>
      <c r="G10" s="2389" t="str">
        <f>COVER!T17</f>
        <v>116 E. Washington St., Suite One</v>
      </c>
      <c r="H10" s="2390"/>
      <c r="I10" s="2390"/>
      <c r="J10" s="2390"/>
      <c r="K10" s="2390"/>
      <c r="L10" s="2391"/>
    </row>
    <row r="11" spans="1:29" ht="13.5" customHeight="1" x14ac:dyDescent="0.2">
      <c r="A11" s="1184" t="s">
        <v>1519</v>
      </c>
      <c r="B11" s="1185"/>
      <c r="C11" s="1186"/>
      <c r="D11" s="1191"/>
      <c r="E11" s="1186"/>
      <c r="F11" s="1190"/>
      <c r="G11" s="2389" t="str">
        <f>COVER!T19</f>
        <v>Morris</v>
      </c>
      <c r="H11" s="2390"/>
      <c r="I11" s="2390"/>
      <c r="J11" s="2390"/>
      <c r="K11" s="2390"/>
      <c r="L11" s="2391"/>
    </row>
    <row r="12" spans="1:29" ht="13.5" customHeight="1" x14ac:dyDescent="0.2">
      <c r="A12" s="2398" t="s">
        <v>1518</v>
      </c>
      <c r="B12" s="2399"/>
      <c r="C12" s="2399"/>
      <c r="D12" s="2399"/>
      <c r="E12" s="2399"/>
      <c r="F12" s="2400"/>
      <c r="G12" s="2392"/>
      <c r="H12" s="2393"/>
      <c r="I12" s="2393"/>
      <c r="J12" s="2393"/>
      <c r="K12" s="2393"/>
      <c r="L12" s="2394"/>
    </row>
    <row r="13" spans="1:29" ht="13.5" customHeight="1" x14ac:dyDescent="0.2">
      <c r="A13" s="2389"/>
      <c r="B13" s="2390"/>
      <c r="C13" s="2390"/>
      <c r="D13" s="2390"/>
      <c r="E13" s="2390"/>
      <c r="F13" s="2391"/>
      <c r="G13" s="2384" t="s">
        <v>1520</v>
      </c>
      <c r="H13" s="2385"/>
      <c r="I13" s="2401" t="str">
        <f>COVER!T25</f>
        <v>tmack@mackcpas.com</v>
      </c>
      <c r="J13" s="2402"/>
      <c r="K13" s="2402"/>
      <c r="L13" s="2403"/>
    </row>
    <row r="14" spans="1:29" ht="13.5" customHeight="1" x14ac:dyDescent="0.2">
      <c r="A14" s="2389" t="str">
        <f>COVER!A19</f>
        <v>725 School Street</v>
      </c>
      <c r="B14" s="2390"/>
      <c r="C14" s="2390"/>
      <c r="D14" s="2390"/>
      <c r="E14" s="2390"/>
      <c r="F14" s="2391"/>
      <c r="G14" s="1195" t="s">
        <v>1185</v>
      </c>
      <c r="H14" s="1193"/>
      <c r="I14" s="1193"/>
      <c r="J14" s="1193"/>
      <c r="K14" s="1193"/>
      <c r="L14" s="1194"/>
    </row>
    <row r="15" spans="1:29" ht="13.5" customHeight="1" x14ac:dyDescent="0.2">
      <c r="A15" s="2389" t="str">
        <f>COVER!A21</f>
        <v>Morris</v>
      </c>
      <c r="B15" s="2390"/>
      <c r="C15" s="2390"/>
      <c r="D15" s="2390"/>
      <c r="E15" s="2390"/>
      <c r="F15" s="2391"/>
      <c r="G15" s="2386" t="str">
        <f>COVER!T15</f>
        <v>Tawnya Mack, CPA</v>
      </c>
      <c r="H15" s="2387"/>
      <c r="I15" s="2387"/>
      <c r="J15" s="2387"/>
      <c r="K15" s="2387"/>
      <c r="L15" s="2388"/>
    </row>
    <row r="16" spans="1:29" ht="12.2" customHeight="1" x14ac:dyDescent="0.2">
      <c r="A16" s="2411">
        <f>COVER!A25</f>
        <v>60450</v>
      </c>
      <c r="B16" s="2412"/>
      <c r="C16" s="2412"/>
      <c r="D16" s="2412"/>
      <c r="E16" s="2412"/>
      <c r="F16" s="2413"/>
      <c r="G16" s="2423"/>
      <c r="H16" s="2424"/>
      <c r="I16" s="2424"/>
      <c r="J16" s="2424"/>
      <c r="K16" s="2424"/>
      <c r="L16" s="2425"/>
    </row>
    <row r="17" spans="1:13" ht="12.2" customHeight="1" x14ac:dyDescent="0.2">
      <c r="A17" s="2426"/>
      <c r="B17" s="2412"/>
      <c r="C17" s="2412"/>
      <c r="D17" s="2412"/>
      <c r="E17" s="2412"/>
      <c r="F17" s="2413"/>
      <c r="G17" s="1195" t="s">
        <v>1184</v>
      </c>
      <c r="H17" s="1193"/>
      <c r="I17" s="1193"/>
      <c r="J17" s="1193"/>
      <c r="K17" s="1197" t="s">
        <v>1183</v>
      </c>
      <c r="L17" s="1190"/>
      <c r="M17" s="1183"/>
    </row>
    <row r="18" spans="1:13" ht="12.2" customHeight="1" x14ac:dyDescent="0.2">
      <c r="A18" s="2395"/>
      <c r="B18" s="2396"/>
      <c r="C18" s="2396"/>
      <c r="D18" s="2396"/>
      <c r="E18" s="2396"/>
      <c r="F18" s="2397"/>
      <c r="G18" s="2405" t="str">
        <f>COVER!T21</f>
        <v>815-942-3306</v>
      </c>
      <c r="H18" s="2406"/>
      <c r="I18" s="2406"/>
      <c r="J18" s="2406"/>
      <c r="K18" s="2405" t="str">
        <f>COVER!X21</f>
        <v>815-942-9430</v>
      </c>
      <c r="L18" s="241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2070</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2070</v>
      </c>
      <c r="C26" s="1202" t="s">
        <v>1699</v>
      </c>
    </row>
    <row r="27" spans="1:13" s="1198" customFormat="1" ht="9" customHeight="1" x14ac:dyDescent="0.2">
      <c r="B27" s="1203"/>
      <c r="C27" s="1202"/>
    </row>
    <row r="28" spans="1:13" s="1198" customFormat="1" ht="12.2" customHeight="1" x14ac:dyDescent="0.2">
      <c r="A28" s="1205"/>
      <c r="B28" s="1201" t="s">
        <v>2070</v>
      </c>
      <c r="C28" s="1202" t="s">
        <v>1700</v>
      </c>
    </row>
    <row r="29" spans="1:13" s="1198" customFormat="1" ht="9" customHeight="1" x14ac:dyDescent="0.2">
      <c r="A29" s="1205"/>
      <c r="B29" s="1203"/>
      <c r="C29" s="1202"/>
    </row>
    <row r="30" spans="1:13" s="1198" customFormat="1" ht="12.2" customHeight="1" x14ac:dyDescent="0.2">
      <c r="B30" s="1201" t="s">
        <v>2070</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2070</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2070</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2070</v>
      </c>
      <c r="C38" s="1202" t="s">
        <v>1566</v>
      </c>
    </row>
    <row r="39" spans="1:8" ht="9" customHeight="1" x14ac:dyDescent="0.2">
      <c r="B39" s="1203"/>
      <c r="C39" s="1206"/>
    </row>
    <row r="40" spans="1:8" s="1198" customFormat="1" ht="13.5" customHeight="1" x14ac:dyDescent="0.2">
      <c r="B40" s="1201" t="s">
        <v>2070</v>
      </c>
      <c r="C40" s="1202" t="s">
        <v>1567</v>
      </c>
    </row>
    <row r="41" spans="1:8" ht="9" customHeight="1" x14ac:dyDescent="0.2">
      <c r="A41" s="1207"/>
      <c r="B41" s="1203"/>
      <c r="C41" s="1206"/>
    </row>
    <row r="42" spans="1:8" s="1198" customFormat="1" ht="13.5" customHeight="1" x14ac:dyDescent="0.2">
      <c r="B42" s="1201" t="s">
        <v>2070</v>
      </c>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4" t="s">
        <v>2070</v>
      </c>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7" t="str">
        <f>'Single Audit Cover'!A7</f>
        <v>Grundy County Spec Educ Coop</v>
      </c>
      <c r="B1" s="2404"/>
      <c r="C1" s="2404"/>
      <c r="D1" s="2404"/>
    </row>
    <row r="2" spans="1:11" s="1212" customFormat="1" ht="12.75" x14ac:dyDescent="0.2">
      <c r="A2" s="2428">
        <f>'Single Audit Cover'!E7</f>
        <v>24032101061</v>
      </c>
      <c r="B2" s="2429"/>
      <c r="C2" s="2429"/>
      <c r="D2" s="2429"/>
    </row>
    <row r="3" spans="1:11" s="1212" customFormat="1" ht="12.75" x14ac:dyDescent="0.2">
      <c r="A3" s="2427" t="s">
        <v>1513</v>
      </c>
      <c r="B3" s="2404"/>
      <c r="C3" s="2404"/>
      <c r="D3" s="2404"/>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1" t="str">
        <f>'Single Audit Cover'!A7</f>
        <v>Grundy County Spec Educ Coop</v>
      </c>
      <c r="B1" s="2431"/>
      <c r="C1" s="2431"/>
      <c r="D1" s="2431"/>
      <c r="E1" s="2431"/>
    </row>
    <row r="2" spans="1:5" x14ac:dyDescent="0.2">
      <c r="A2" s="2432">
        <f>'Single Audit Cover'!E7</f>
        <v>24032101061</v>
      </c>
      <c r="B2" s="2432"/>
      <c r="C2" s="2432"/>
      <c r="D2" s="2432"/>
      <c r="E2" s="2432"/>
    </row>
    <row r="3" spans="1:5" ht="4.5" customHeight="1" x14ac:dyDescent="0.2"/>
    <row r="4" spans="1:5" x14ac:dyDescent="0.2">
      <c r="A4" s="2431" t="s">
        <v>1245</v>
      </c>
      <c r="B4" s="2431"/>
      <c r="C4" s="2431"/>
      <c r="D4" s="2431"/>
      <c r="E4" s="2431"/>
    </row>
    <row r="5" spans="1:5" x14ac:dyDescent="0.2">
      <c r="A5" s="2434" t="str">
        <f>'Single Audit Cover'!A4</f>
        <v>Year Ending June 30, 2019</v>
      </c>
      <c r="B5" s="2434"/>
      <c r="C5" s="2434"/>
      <c r="D5" s="2434"/>
      <c r="E5" s="2434"/>
    </row>
    <row r="6" spans="1:5" x14ac:dyDescent="0.2">
      <c r="A6" s="2431" t="s">
        <v>1244</v>
      </c>
      <c r="B6" s="2431"/>
      <c r="C6" s="2431"/>
      <c r="D6" s="2431"/>
      <c r="E6" s="2431"/>
    </row>
    <row r="8" spans="1:5" x14ac:dyDescent="0.2">
      <c r="A8" s="1257" t="s">
        <v>1243</v>
      </c>
    </row>
    <row r="10" spans="1:5" x14ac:dyDescent="0.2">
      <c r="A10" s="1258" t="s">
        <v>1242</v>
      </c>
      <c r="B10" s="1259" t="s">
        <v>1241</v>
      </c>
      <c r="C10" s="1259"/>
      <c r="D10" s="1260">
        <f>SUM('Acct Summary 7-8'!C7:K7)</f>
        <v>2985479</v>
      </c>
    </row>
    <row r="11" spans="1:5" ht="18" customHeight="1" x14ac:dyDescent="0.2">
      <c r="A11" s="1258" t="s">
        <v>1240</v>
      </c>
      <c r="B11" s="1259"/>
      <c r="C11" s="1259"/>
    </row>
    <row r="12" spans="1:5" x14ac:dyDescent="0.2">
      <c r="A12" s="1258" t="s">
        <v>1239</v>
      </c>
      <c r="B12" s="1259" t="s">
        <v>1238</v>
      </c>
      <c r="C12" s="1259"/>
      <c r="D12" s="1261">
        <f>SUM('Revenues 9-14'!C112:D112,'Revenues 9-14'!F112:G112)</f>
        <v>171327</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-349546</v>
      </c>
    </row>
    <row r="19" spans="1:4" ht="13.5" thickBot="1" x14ac:dyDescent="0.25">
      <c r="A19" s="1262" t="s">
        <v>1235</v>
      </c>
      <c r="D19" s="1263">
        <f>SUM(D10:D17)</f>
        <v>2807260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3" t="s">
        <v>2178</v>
      </c>
      <c r="B24" s="2433"/>
      <c r="D24" s="1265">
        <v>-171327</v>
      </c>
    </row>
    <row r="25" spans="1:4" x14ac:dyDescent="0.2">
      <c r="A25" s="2430"/>
      <c r="B25" s="2430"/>
      <c r="D25" s="1265"/>
    </row>
    <row r="26" spans="1:4" x14ac:dyDescent="0.2">
      <c r="A26" s="2430"/>
      <c r="B26" s="2430"/>
      <c r="D26" s="1265"/>
    </row>
    <row r="27" spans="1:4" x14ac:dyDescent="0.2">
      <c r="A27" s="2430"/>
      <c r="B27" s="2430"/>
      <c r="D27" s="1265"/>
    </row>
    <row r="28" spans="1:4" x14ac:dyDescent="0.2">
      <c r="A28" s="2430"/>
      <c r="B28" s="2430"/>
      <c r="D28" s="1265"/>
    </row>
    <row r="29" spans="1:4" x14ac:dyDescent="0.2">
      <c r="A29" s="2430"/>
      <c r="B29" s="2430"/>
      <c r="D29" s="1265"/>
    </row>
    <row r="30" spans="1:4" x14ac:dyDescent="0.2">
      <c r="A30" s="2430"/>
      <c r="B30" s="2430"/>
      <c r="D30" s="1265"/>
    </row>
    <row r="32" spans="1:4" x14ac:dyDescent="0.2">
      <c r="A32" s="1257" t="s">
        <v>1233</v>
      </c>
      <c r="D32" s="1260">
        <f>SUM(D19:D30)</f>
        <v>2635933</v>
      </c>
    </row>
    <row r="33" spans="1:4" x14ac:dyDescent="0.2">
      <c r="D33" s="1266"/>
    </row>
    <row r="34" spans="1:4" x14ac:dyDescent="0.2">
      <c r="A34" s="317" t="s">
        <v>1232</v>
      </c>
    </row>
    <row r="35" spans="1:4" x14ac:dyDescent="0.2">
      <c r="A35" s="317" t="s">
        <v>1231</v>
      </c>
      <c r="B35" s="1255" t="s">
        <v>1230</v>
      </c>
      <c r="D35" s="1267">
        <v>2635933</v>
      </c>
    </row>
    <row r="37" spans="1:4" x14ac:dyDescent="0.2">
      <c r="A37" s="1257" t="s">
        <v>1229</v>
      </c>
    </row>
    <row r="39" spans="1:4" ht="13.35" customHeight="1" x14ac:dyDescent="0.2">
      <c r="A39" s="1264" t="s">
        <v>1228</v>
      </c>
    </row>
    <row r="40" spans="1:4" x14ac:dyDescent="0.2">
      <c r="A40" s="2430"/>
      <c r="B40" s="2430"/>
      <c r="D40" s="1265"/>
    </row>
    <row r="41" spans="1:4" x14ac:dyDescent="0.2">
      <c r="A41" s="2430"/>
      <c r="B41" s="2430"/>
      <c r="D41" s="1268"/>
    </row>
    <row r="42" spans="1:4" x14ac:dyDescent="0.2">
      <c r="A42" s="2430"/>
      <c r="B42" s="2430"/>
      <c r="D42" s="1268"/>
    </row>
    <row r="43" spans="1:4" x14ac:dyDescent="0.2">
      <c r="A43" s="2430"/>
      <c r="B43" s="2430"/>
      <c r="D43" s="1268"/>
    </row>
    <row r="44" spans="1:4" x14ac:dyDescent="0.2">
      <c r="A44" s="2430"/>
      <c r="B44" s="2430"/>
      <c r="D44" s="1268"/>
    </row>
    <row r="45" spans="1:4" x14ac:dyDescent="0.2">
      <c r="A45" s="2430"/>
      <c r="B45" s="2430"/>
      <c r="D45" s="1268"/>
    </row>
    <row r="47" spans="1:4" x14ac:dyDescent="0.2">
      <c r="B47" s="1269" t="s">
        <v>1227</v>
      </c>
      <c r="C47" s="1269"/>
      <c r="D47" s="1270">
        <f>SUM(D35:D45)</f>
        <v>2635933</v>
      </c>
    </row>
    <row r="49" spans="2:4" x14ac:dyDescent="0.2">
      <c r="B49" s="1269" t="s">
        <v>1226</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N152"/>
  <sheetViews>
    <sheetView showGridLines="0" zoomScale="80" zoomScaleNormal="80" workbookViewId="0">
      <selection activeCell="J19" sqref="J19"/>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4" t="str">
        <f>'Single Audit Cover'!A7</f>
        <v>Grundy County Spec Educ Coop</v>
      </c>
      <c r="C1" s="2435"/>
      <c r="D1" s="2435"/>
      <c r="E1" s="2435"/>
      <c r="F1" s="2435"/>
      <c r="G1" s="2435"/>
      <c r="H1" s="2435"/>
      <c r="I1" s="2435"/>
      <c r="J1" s="2435"/>
      <c r="K1" s="2435"/>
      <c r="L1" s="2435"/>
      <c r="M1" s="2435"/>
    </row>
    <row r="2" spans="2:14" ht="15" x14ac:dyDescent="0.2">
      <c r="B2" s="2436">
        <f>'Single Audit Cover'!E7</f>
        <v>24032101061</v>
      </c>
      <c r="C2" s="2436"/>
      <c r="D2" s="2436"/>
      <c r="E2" s="2436"/>
      <c r="F2" s="2436"/>
      <c r="G2" s="2436"/>
      <c r="H2" s="2436"/>
      <c r="I2" s="2436"/>
      <c r="J2" s="2436"/>
      <c r="K2" s="2436"/>
      <c r="L2" s="2436"/>
      <c r="M2" s="2436"/>
      <c r="N2" s="1299"/>
    </row>
    <row r="3" spans="2:14" ht="15" x14ac:dyDescent="0.2">
      <c r="B3" s="2437" t="s">
        <v>1219</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2097</v>
      </c>
      <c r="C11" s="1336"/>
      <c r="D11" s="1337"/>
      <c r="E11" s="1338"/>
      <c r="F11" s="1338"/>
      <c r="G11" s="1338"/>
      <c r="H11" s="1338"/>
      <c r="I11" s="1338"/>
      <c r="J11" s="1335"/>
      <c r="K11" s="1335"/>
      <c r="L11" s="1335">
        <f>+G11+I11+K11</f>
        <v>0</v>
      </c>
      <c r="M11" s="1335"/>
    </row>
    <row r="12" spans="2:14" ht="20.100000000000001" customHeight="1" x14ac:dyDescent="0.2">
      <c r="B12" s="1334" t="s">
        <v>2096</v>
      </c>
      <c r="C12" s="1336"/>
      <c r="D12" s="1337"/>
      <c r="E12" s="1338"/>
      <c r="F12" s="1338"/>
      <c r="G12" s="1338"/>
      <c r="H12" s="1338"/>
      <c r="I12" s="1338"/>
      <c r="J12" s="1338"/>
      <c r="K12" s="1338"/>
      <c r="L12" s="1335">
        <f t="shared" ref="L12:L27" si="0">+G12+I12+K12</f>
        <v>0</v>
      </c>
      <c r="M12" s="1338"/>
    </row>
    <row r="13" spans="2:14" ht="20.100000000000001" customHeight="1" x14ac:dyDescent="0.2">
      <c r="B13" s="1334" t="s">
        <v>2106</v>
      </c>
      <c r="C13" s="1336">
        <v>84.173000000000002</v>
      </c>
      <c r="D13" s="1337" t="s">
        <v>2111</v>
      </c>
      <c r="E13" s="1338"/>
      <c r="F13" s="1338">
        <v>29474</v>
      </c>
      <c r="G13" s="1338"/>
      <c r="H13" s="1338"/>
      <c r="I13" s="1338">
        <v>35419</v>
      </c>
      <c r="J13" s="1338"/>
      <c r="K13" s="1338"/>
      <c r="L13" s="1335">
        <f t="shared" si="0"/>
        <v>35419</v>
      </c>
      <c r="M13" s="1338">
        <v>49139</v>
      </c>
    </row>
    <row r="14" spans="2:14" ht="20.100000000000001" customHeight="1" x14ac:dyDescent="0.2">
      <c r="B14" s="1334" t="s">
        <v>2098</v>
      </c>
      <c r="C14" s="1336">
        <v>84.173000000000002</v>
      </c>
      <c r="D14" s="1337" t="s">
        <v>2099</v>
      </c>
      <c r="E14" s="1338">
        <v>49206</v>
      </c>
      <c r="F14" s="1338">
        <v>20582</v>
      </c>
      <c r="G14" s="1338">
        <v>69788</v>
      </c>
      <c r="H14" s="1338"/>
      <c r="I14" s="1338"/>
      <c r="J14" s="1338"/>
      <c r="K14" s="1338"/>
      <c r="L14" s="1335">
        <f t="shared" si="0"/>
        <v>69788</v>
      </c>
      <c r="M14" s="1338">
        <v>90160</v>
      </c>
    </row>
    <row r="15" spans="2:14" ht="20.100000000000001" customHeight="1" x14ac:dyDescent="0.2">
      <c r="B15" s="1334" t="s">
        <v>2107</v>
      </c>
      <c r="C15" s="1336">
        <v>84.027000000000001</v>
      </c>
      <c r="D15" s="1337" t="s">
        <v>2110</v>
      </c>
      <c r="E15" s="1338"/>
      <c r="F15" s="1338">
        <v>1688658</v>
      </c>
      <c r="G15" s="1338"/>
      <c r="H15" s="1338"/>
      <c r="I15" s="1338">
        <v>2635351</v>
      </c>
      <c r="J15" s="1338">
        <v>1105927</v>
      </c>
      <c r="K15" s="1338"/>
      <c r="L15" s="1335">
        <f>+G15+I15+K15</f>
        <v>2635351</v>
      </c>
      <c r="M15" s="1338">
        <v>2808998</v>
      </c>
    </row>
    <row r="16" spans="2:14" ht="20.100000000000001" customHeight="1" x14ac:dyDescent="0.2">
      <c r="B16" s="1334" t="s">
        <v>2100</v>
      </c>
      <c r="C16" s="1336">
        <v>84.027000000000001</v>
      </c>
      <c r="D16" s="1337" t="s">
        <v>2101</v>
      </c>
      <c r="E16" s="1338">
        <v>1316136</v>
      </c>
      <c r="F16" s="1338">
        <v>840392</v>
      </c>
      <c r="G16" s="1338">
        <v>2156528</v>
      </c>
      <c r="H16" s="1338">
        <v>958384</v>
      </c>
      <c r="I16" s="1338"/>
      <c r="J16" s="1338"/>
      <c r="K16" s="1338"/>
      <c r="L16" s="1335">
        <f t="shared" si="0"/>
        <v>2156528</v>
      </c>
      <c r="M16" s="1338">
        <v>2626094</v>
      </c>
    </row>
    <row r="17" spans="2:14" ht="20.100000000000001" customHeight="1" x14ac:dyDescent="0.2">
      <c r="B17" s="1334" t="s">
        <v>2102</v>
      </c>
      <c r="C17" s="1336"/>
      <c r="D17" s="1337"/>
      <c r="E17" s="1338"/>
      <c r="F17" s="1338"/>
      <c r="G17" s="1338"/>
      <c r="H17" s="1338"/>
      <c r="I17" s="1338"/>
      <c r="J17" s="1338"/>
      <c r="K17" s="1338"/>
      <c r="L17" s="1335">
        <f t="shared" si="0"/>
        <v>0</v>
      </c>
      <c r="M17" s="1338"/>
    </row>
    <row r="18" spans="2:14" ht="20.100000000000001" customHeight="1" x14ac:dyDescent="0.2">
      <c r="B18" s="1334" t="s">
        <v>2103</v>
      </c>
      <c r="C18" s="1336"/>
      <c r="D18" s="1337"/>
      <c r="E18" s="1338"/>
      <c r="F18" s="1338"/>
      <c r="G18" s="1338"/>
      <c r="H18" s="1338"/>
      <c r="I18" s="1338"/>
      <c r="J18" s="1338"/>
      <c r="K18" s="1338"/>
      <c r="L18" s="1335">
        <f t="shared" si="0"/>
        <v>0</v>
      </c>
      <c r="M18" s="1338"/>
    </row>
    <row r="19" spans="2:14" ht="20.100000000000001" customHeight="1" x14ac:dyDescent="0.2">
      <c r="B19" s="1334" t="s">
        <v>2108</v>
      </c>
      <c r="C19" s="1336">
        <v>93.778000000000006</v>
      </c>
      <c r="D19" s="1337" t="s">
        <v>2109</v>
      </c>
      <c r="E19" s="1338"/>
      <c r="F19" s="1338">
        <v>39999</v>
      </c>
      <c r="G19" s="1338"/>
      <c r="H19" s="1338"/>
      <c r="I19" s="1338">
        <v>56637</v>
      </c>
      <c r="J19" s="1338"/>
      <c r="K19" s="1338"/>
      <c r="L19" s="1335">
        <f t="shared" si="0"/>
        <v>56637</v>
      </c>
      <c r="M19" s="1338" t="s">
        <v>2112</v>
      </c>
    </row>
    <row r="20" spans="2:14" ht="20.100000000000001" customHeight="1" x14ac:dyDescent="0.2">
      <c r="B20" s="1334" t="s">
        <v>2104</v>
      </c>
      <c r="C20" s="1336">
        <v>93.778000000000006</v>
      </c>
      <c r="D20" s="1337" t="s">
        <v>2105</v>
      </c>
      <c r="E20" s="1338">
        <v>40091</v>
      </c>
      <c r="F20" s="1338">
        <v>16828</v>
      </c>
      <c r="G20" s="1338">
        <v>57620</v>
      </c>
      <c r="H20" s="1338"/>
      <c r="I20" s="1338"/>
      <c r="J20" s="1338"/>
      <c r="K20" s="1338"/>
      <c r="L20" s="1335">
        <f t="shared" si="0"/>
        <v>57620</v>
      </c>
      <c r="M20" s="1338" t="s">
        <v>2112</v>
      </c>
    </row>
    <row r="21" spans="2:14" ht="20.100000000000001" customHeight="1" x14ac:dyDescent="0.2">
      <c r="B21" s="1334"/>
      <c r="C21" s="1336"/>
      <c r="D21" s="1337"/>
      <c r="E21" s="1338"/>
      <c r="F21" s="1338"/>
      <c r="G21" s="1338"/>
      <c r="H21" s="1338"/>
      <c r="I21" s="1338"/>
      <c r="J21" s="1338"/>
      <c r="K21" s="1338"/>
      <c r="L21" s="1335">
        <f t="shared" si="0"/>
        <v>0</v>
      </c>
      <c r="M21" s="1338"/>
    </row>
    <row r="22" spans="2:14" ht="20.100000000000001" customHeight="1" x14ac:dyDescent="0.2">
      <c r="B22" s="1334" t="s">
        <v>1161</v>
      </c>
      <c r="C22" s="1336"/>
      <c r="D22" s="1337"/>
      <c r="E22" s="1338">
        <f t="shared" ref="E22:J22" si="1">SUM(E13:E21)</f>
        <v>1405433</v>
      </c>
      <c r="F22" s="1338">
        <f t="shared" si="1"/>
        <v>2635933</v>
      </c>
      <c r="G22" s="1338">
        <f t="shared" si="1"/>
        <v>2283936</v>
      </c>
      <c r="H22" s="1338">
        <f t="shared" si="1"/>
        <v>958384</v>
      </c>
      <c r="I22" s="1338">
        <f t="shared" si="1"/>
        <v>2727407</v>
      </c>
      <c r="J22" s="1338">
        <f t="shared" si="1"/>
        <v>1105927</v>
      </c>
      <c r="K22" s="1338"/>
      <c r="L22" s="1335">
        <f t="shared" si="0"/>
        <v>5011343</v>
      </c>
      <c r="M22" s="1338">
        <f>SUM(M13:M21)</f>
        <v>5574391</v>
      </c>
    </row>
    <row r="23" spans="2:14" ht="20.100000000000001" customHeight="1" x14ac:dyDescent="0.2">
      <c r="B23" s="1334"/>
      <c r="C23" s="1336"/>
      <c r="D23" s="1337"/>
      <c r="E23" s="1338"/>
      <c r="F23" s="1338"/>
      <c r="G23" s="1338"/>
      <c r="H23" s="1338"/>
      <c r="I23" s="1338"/>
      <c r="J23" s="1338"/>
      <c r="K23" s="1338"/>
      <c r="L23" s="1335">
        <f t="shared" si="0"/>
        <v>0</v>
      </c>
      <c r="M23" s="1338"/>
    </row>
    <row r="24" spans="2:14" ht="20.100000000000001" customHeight="1" x14ac:dyDescent="0.2">
      <c r="B24" s="1334"/>
      <c r="C24" s="1336"/>
      <c r="D24" s="1337"/>
      <c r="E24" s="1338"/>
      <c r="F24" s="1338"/>
      <c r="G24" s="1338"/>
      <c r="H24" s="1338"/>
      <c r="I24" s="1338"/>
      <c r="J24" s="1338"/>
      <c r="K24" s="1338"/>
      <c r="L24" s="1335">
        <f t="shared" si="0"/>
        <v>0</v>
      </c>
      <c r="M24" s="1338"/>
    </row>
    <row r="25" spans="2:14" ht="20.100000000000001" customHeight="1" x14ac:dyDescent="0.2">
      <c r="B25" s="1334"/>
      <c r="C25" s="1336"/>
      <c r="D25" s="1337"/>
      <c r="E25" s="1338"/>
      <c r="F25" s="1338"/>
      <c r="G25" s="1338"/>
      <c r="H25" s="1338"/>
      <c r="I25" s="1338"/>
      <c r="J25" s="1338"/>
      <c r="K25" s="1338"/>
      <c r="L25" s="1335">
        <f t="shared" si="0"/>
        <v>0</v>
      </c>
      <c r="M25" s="1338"/>
    </row>
    <row r="26" spans="2:14" ht="20.100000000000001" customHeight="1" x14ac:dyDescent="0.2">
      <c r="B26" s="1334"/>
      <c r="C26" s="1336"/>
      <c r="D26" s="1337"/>
      <c r="E26" s="1338"/>
      <c r="F26" s="1338"/>
      <c r="G26" s="1338"/>
      <c r="H26" s="1338"/>
      <c r="I26" s="1338"/>
      <c r="J26" s="1338"/>
      <c r="K26" s="1338"/>
      <c r="L26" s="1335">
        <f t="shared" si="0"/>
        <v>0</v>
      </c>
      <c r="M26" s="1338"/>
    </row>
    <row r="27" spans="2:14" ht="20.100000000000001" customHeight="1" x14ac:dyDescent="0.2">
      <c r="B27" s="1334"/>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4"/>
      <c r="C29" s="1344"/>
      <c r="D29" s="1345"/>
      <c r="E29" s="1254"/>
      <c r="F29" s="1254"/>
      <c r="G29" s="1247"/>
      <c r="H29" s="1247"/>
      <c r="I29" s="1247"/>
      <c r="J29" s="1247"/>
      <c r="K29" s="1247"/>
      <c r="L29" s="1247"/>
      <c r="M29" s="1254"/>
      <c r="N29" s="1339"/>
    </row>
    <row r="30" spans="2:14" ht="13.5" customHeight="1" x14ac:dyDescent="0.2">
      <c r="B30" s="1279" t="s">
        <v>1734</v>
      </c>
      <c r="C30" s="1344"/>
      <c r="D30" s="1345"/>
      <c r="E30" s="1254"/>
      <c r="F30" s="1254"/>
      <c r="G30" s="1247"/>
      <c r="H30" s="1247"/>
      <c r="I30" s="1247"/>
      <c r="J30" s="1247"/>
      <c r="K30" s="1247"/>
      <c r="L30" s="1247"/>
      <c r="M30" s="1254"/>
      <c r="N30" s="1339"/>
    </row>
    <row r="31" spans="2:14" ht="8.25" customHeight="1" x14ac:dyDescent="0.2">
      <c r="B31" s="1279"/>
      <c r="C31" s="1344"/>
      <c r="D31" s="1345"/>
      <c r="E31" s="1254"/>
      <c r="F31" s="1254"/>
      <c r="G31" s="1247"/>
      <c r="H31" s="1247"/>
      <c r="I31" s="1247"/>
      <c r="J31" s="1247"/>
      <c r="K31" s="1247"/>
      <c r="L31" s="1247"/>
      <c r="M31" s="1254"/>
      <c r="N31" s="1339"/>
    </row>
    <row r="32" spans="2:14" x14ac:dyDescent="0.2">
      <c r="B32" s="1346" t="s">
        <v>1837</v>
      </c>
      <c r="C32" s="1347"/>
      <c r="D32" s="1348"/>
      <c r="E32" s="1349"/>
      <c r="F32" s="1349"/>
      <c r="G32" s="1349"/>
      <c r="H32" s="1349"/>
      <c r="I32" s="317"/>
      <c r="J32" s="317"/>
    </row>
    <row r="33" spans="2:13" x14ac:dyDescent="0.2">
      <c r="B33" s="1274"/>
      <c r="C33" s="1350"/>
      <c r="D33" s="1351"/>
      <c r="E33" s="1275"/>
      <c r="F33" s="1275"/>
      <c r="G33" s="317"/>
      <c r="H33" s="317"/>
      <c r="I33" s="317"/>
      <c r="J33" s="317"/>
    </row>
    <row r="34" spans="2:13" ht="13.5" customHeight="1" x14ac:dyDescent="0.2">
      <c r="B34" s="1273" t="s">
        <v>1246</v>
      </c>
      <c r="G34" s="317"/>
      <c r="H34" s="317"/>
      <c r="I34" s="317"/>
      <c r="J34" s="317"/>
    </row>
    <row r="35" spans="2:13" ht="13.5" customHeight="1" x14ac:dyDescent="0.2">
      <c r="B35" s="1354"/>
      <c r="C35" s="1355"/>
      <c r="D35" s="1356"/>
      <c r="E35" s="1294"/>
      <c r="F35" s="1294"/>
      <c r="G35" s="1294"/>
      <c r="H35" s="1294"/>
      <c r="I35" s="1294"/>
      <c r="J35" s="1294"/>
      <c r="K35" s="1357"/>
      <c r="L35" s="1357"/>
      <c r="M35" s="1294"/>
    </row>
    <row r="36" spans="2:13" ht="9.6" customHeight="1" x14ac:dyDescent="0.2">
      <c r="B36" s="1358"/>
      <c r="G36" s="317"/>
      <c r="H36" s="317"/>
      <c r="I36" s="317"/>
      <c r="J36" s="317"/>
    </row>
    <row r="37" spans="2:13" ht="11.25" customHeight="1" x14ac:dyDescent="0.2">
      <c r="B37" s="1359" t="s">
        <v>1735</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1736</v>
      </c>
      <c r="C40" s="1361"/>
      <c r="D40" s="1361"/>
      <c r="E40" s="1361"/>
      <c r="F40" s="1361"/>
      <c r="G40" s="1361"/>
      <c r="H40" s="1361"/>
      <c r="I40" s="1361"/>
      <c r="J40" s="1361"/>
      <c r="K40" s="1361"/>
      <c r="L40" s="1361"/>
      <c r="M40" s="1361"/>
    </row>
    <row r="41" spans="2:13" ht="11.25" customHeight="1" x14ac:dyDescent="0.2">
      <c r="B41" s="1297" t="s">
        <v>1585</v>
      </c>
      <c r="C41" s="1363"/>
      <c r="D41" s="1364"/>
      <c r="E41" s="1297"/>
      <c r="F41" s="1297"/>
      <c r="G41" s="1297"/>
      <c r="H41" s="1297"/>
      <c r="I41" s="1297"/>
      <c r="J41" s="1297"/>
      <c r="K41" s="1365"/>
      <c r="L41" s="1365"/>
      <c r="M41" s="1297"/>
    </row>
    <row r="42" spans="2:13" ht="3.95" customHeight="1" x14ac:dyDescent="0.2">
      <c r="B42" s="1297"/>
      <c r="C42" s="1363"/>
      <c r="D42" s="1364"/>
      <c r="E42" s="1297"/>
      <c r="F42" s="1297"/>
      <c r="G42" s="1297"/>
      <c r="H42" s="1297"/>
      <c r="I42" s="1297"/>
      <c r="J42" s="1297"/>
      <c r="K42" s="1365"/>
      <c r="L42" s="1365"/>
      <c r="M42" s="1297"/>
    </row>
    <row r="43" spans="2:13" ht="11.25" customHeight="1" x14ac:dyDescent="0.2">
      <c r="B43" s="1366" t="s">
        <v>1737</v>
      </c>
      <c r="C43" s="1363"/>
      <c r="D43" s="1364"/>
      <c r="E43" s="1297"/>
      <c r="F43" s="1297"/>
      <c r="G43" s="1297"/>
      <c r="H43" s="1297"/>
      <c r="I43" s="1297"/>
      <c r="J43" s="1297"/>
      <c r="K43" s="1365"/>
      <c r="L43" s="1365"/>
      <c r="M43" s="1297"/>
    </row>
    <row r="44" spans="2:13" ht="3.95" customHeight="1" x14ac:dyDescent="0.2">
      <c r="B44" s="1366"/>
      <c r="C44" s="1363"/>
      <c r="D44" s="1364"/>
      <c r="E44" s="1297"/>
      <c r="F44" s="1297"/>
      <c r="G44" s="1297"/>
      <c r="H44" s="1297"/>
      <c r="I44" s="1297"/>
      <c r="J44" s="1297"/>
      <c r="K44" s="1365"/>
      <c r="L44" s="1365"/>
      <c r="M44" s="1297"/>
    </row>
    <row r="45" spans="2:13" ht="11.25" customHeight="1" x14ac:dyDescent="0.2">
      <c r="B45" s="1367" t="s">
        <v>1738</v>
      </c>
      <c r="C45" s="1363"/>
      <c r="D45" s="1364"/>
      <c r="E45" s="1297"/>
      <c r="F45" s="1297"/>
      <c r="G45" s="1297"/>
      <c r="H45" s="1297"/>
      <c r="I45" s="1297"/>
      <c r="J45" s="1297"/>
      <c r="K45" s="1365"/>
      <c r="L45" s="1365"/>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2"/>
  <sheetViews>
    <sheetView showGridLines="0" topLeftCell="A33" zoomScale="120" zoomScaleNormal="120" workbookViewId="0">
      <selection activeCell="C40" sqref="C40"/>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Grundy County Spec Educ Coop</v>
      </c>
      <c r="B1" s="2448"/>
      <c r="C1" s="2448"/>
      <c r="D1" s="2448"/>
      <c r="E1" s="2448"/>
      <c r="F1" s="2448"/>
    </row>
    <row r="2" spans="1:7" ht="13.5" customHeight="1" x14ac:dyDescent="0.2">
      <c r="A2" s="2436">
        <f>'Single Audit Cover'!E7</f>
        <v>24032101061</v>
      </c>
      <c r="B2" s="2436"/>
      <c r="C2" s="2436"/>
      <c r="D2" s="2436"/>
      <c r="E2" s="2436"/>
      <c r="F2" s="2436"/>
      <c r="G2" s="1272"/>
    </row>
    <row r="3" spans="1:7" ht="15.75" customHeight="1" x14ac:dyDescent="0.2">
      <c r="A3" s="2449" t="s">
        <v>1271</v>
      </c>
      <c r="B3" s="2449"/>
      <c r="C3" s="2449"/>
      <c r="D3" s="2449"/>
      <c r="E3" s="2449"/>
      <c r="F3" s="2449"/>
    </row>
    <row r="4" spans="1:7" ht="13.5" customHeight="1" x14ac:dyDescent="0.2">
      <c r="A4" s="2450" t="str">
        <f>'Single Audit Cover'!A4</f>
        <v>Year Ending June 30, 2019</v>
      </c>
      <c r="B4" s="2450"/>
      <c r="C4" s="2450"/>
      <c r="D4" s="2450"/>
      <c r="E4" s="2450"/>
      <c r="F4" s="2450"/>
    </row>
    <row r="5" spans="1:7" ht="8.25" customHeight="1" x14ac:dyDescent="0.2">
      <c r="C5" s="317"/>
      <c r="D5" s="317"/>
    </row>
    <row r="6" spans="1:7" ht="13.5" customHeight="1" x14ac:dyDescent="0.2">
      <c r="A6" s="1273" t="s">
        <v>1728</v>
      </c>
      <c r="C6" s="317"/>
      <c r="D6" s="317"/>
    </row>
    <row r="7" spans="1:7" ht="60.95" customHeight="1" x14ac:dyDescent="0.2">
      <c r="A7" s="2447" t="s">
        <v>2115</v>
      </c>
      <c r="B7" s="2447"/>
      <c r="C7" s="2447"/>
      <c r="D7" s="2447"/>
      <c r="E7" s="2447"/>
      <c r="F7" s="2447"/>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2070</v>
      </c>
      <c r="F10" s="1277" t="s">
        <v>99</v>
      </c>
      <c r="G10" s="1275"/>
    </row>
    <row r="11" spans="1:7" ht="12" customHeight="1" x14ac:dyDescent="0.2">
      <c r="A11" s="1276"/>
      <c r="B11" s="1277"/>
      <c r="C11" s="1900"/>
      <c r="D11" s="1277"/>
      <c r="E11" s="1900"/>
      <c r="F11" s="1277"/>
      <c r="G11" s="1275"/>
    </row>
    <row r="12" spans="1:7" x14ac:dyDescent="0.2">
      <c r="A12" s="1273" t="s">
        <v>1587</v>
      </c>
      <c r="C12" s="1257"/>
      <c r="D12" s="1257"/>
    </row>
    <row r="13" spans="1:7" ht="15" customHeight="1" x14ac:dyDescent="0.2">
      <c r="A13" s="2447" t="s">
        <v>2113</v>
      </c>
      <c r="B13" s="2447"/>
      <c r="C13" s="2447"/>
      <c r="D13" s="2447"/>
      <c r="E13" s="2447"/>
      <c r="F13" s="2447"/>
    </row>
    <row r="14" spans="1:7" ht="9.75" customHeight="1" x14ac:dyDescent="0.2">
      <c r="C14" s="1257"/>
      <c r="D14" s="1257"/>
    </row>
    <row r="15" spans="1:7" ht="13.5" customHeight="1" x14ac:dyDescent="0.2">
      <c r="C15" s="1844" t="s">
        <v>1270</v>
      </c>
      <c r="D15" s="2445" t="s">
        <v>1269</v>
      </c>
      <c r="E15" s="2445"/>
      <c r="F15" s="2445"/>
    </row>
    <row r="16" spans="1:7" ht="13.5" customHeight="1" x14ac:dyDescent="0.2">
      <c r="A16" s="1279"/>
      <c r="B16" s="1273" t="s">
        <v>1268</v>
      </c>
      <c r="C16" s="1844" t="s">
        <v>1267</v>
      </c>
      <c r="D16" s="2446" t="s">
        <v>1588</v>
      </c>
      <c r="E16" s="2446"/>
      <c r="F16" s="2446"/>
    </row>
    <row r="17" spans="1:6" ht="20.45" customHeight="1" x14ac:dyDescent="0.2">
      <c r="A17" s="1280"/>
      <c r="B17" s="1281" t="s">
        <v>2116</v>
      </c>
      <c r="C17" s="1282" t="s">
        <v>2127</v>
      </c>
      <c r="D17" s="2440">
        <v>21742</v>
      </c>
      <c r="E17" s="2440"/>
      <c r="F17" s="2440"/>
    </row>
    <row r="18" spans="1:6" ht="20.65" customHeight="1" x14ac:dyDescent="0.2">
      <c r="A18" s="1280"/>
      <c r="B18" s="1281" t="s">
        <v>2117</v>
      </c>
      <c r="C18" s="1282" t="s">
        <v>2127</v>
      </c>
      <c r="D18" s="2440">
        <v>22339</v>
      </c>
      <c r="E18" s="2440"/>
      <c r="F18" s="2440"/>
    </row>
    <row r="19" spans="1:6" ht="20.65" customHeight="1" x14ac:dyDescent="0.2">
      <c r="A19" s="1280"/>
      <c r="B19" s="1281" t="s">
        <v>2118</v>
      </c>
      <c r="C19" s="1282" t="s">
        <v>2127</v>
      </c>
      <c r="D19" s="2440">
        <v>20520</v>
      </c>
      <c r="E19" s="2440"/>
      <c r="F19" s="2440"/>
    </row>
    <row r="20" spans="1:6" ht="20.65" customHeight="1" x14ac:dyDescent="0.2">
      <c r="A20" s="1280"/>
      <c r="B20" s="1281" t="s">
        <v>2119</v>
      </c>
      <c r="C20" s="1282" t="s">
        <v>2127</v>
      </c>
      <c r="D20" s="2440">
        <v>245803</v>
      </c>
      <c r="E20" s="2440"/>
      <c r="F20" s="2440"/>
    </row>
    <row r="21" spans="1:6" ht="20.65" customHeight="1" x14ac:dyDescent="0.2">
      <c r="A21" s="1280"/>
      <c r="B21" s="1281" t="s">
        <v>2120</v>
      </c>
      <c r="C21" s="1282" t="s">
        <v>2127</v>
      </c>
      <c r="D21" s="2440">
        <v>381215</v>
      </c>
      <c r="E21" s="2440"/>
      <c r="F21" s="2440"/>
    </row>
    <row r="22" spans="1:6" ht="20.65" customHeight="1" x14ac:dyDescent="0.2">
      <c r="A22" s="1280"/>
      <c r="B22" s="1281" t="s">
        <v>2121</v>
      </c>
      <c r="C22" s="1282" t="s">
        <v>2127</v>
      </c>
      <c r="D22" s="2440">
        <v>187167</v>
      </c>
      <c r="E22" s="2440"/>
      <c r="F22" s="2440"/>
    </row>
    <row r="23" spans="1:6" ht="20.65" customHeight="1" x14ac:dyDescent="0.2">
      <c r="A23" s="1280"/>
      <c r="B23" s="1281" t="s">
        <v>2122</v>
      </c>
      <c r="C23" s="1282" t="s">
        <v>2127</v>
      </c>
      <c r="D23" s="2440">
        <v>58115</v>
      </c>
      <c r="E23" s="2440"/>
      <c r="F23" s="2440"/>
    </row>
    <row r="24" spans="1:6" ht="20.65" customHeight="1" x14ac:dyDescent="0.2">
      <c r="A24" s="1280"/>
      <c r="B24" s="1281" t="s">
        <v>2123</v>
      </c>
      <c r="C24" s="1282" t="s">
        <v>2127</v>
      </c>
      <c r="D24" s="2440">
        <v>46895</v>
      </c>
      <c r="E24" s="2440"/>
      <c r="F24" s="2440"/>
    </row>
    <row r="25" spans="1:6" ht="20.65" customHeight="1" x14ac:dyDescent="0.2">
      <c r="A25" s="1280"/>
      <c r="B25" s="1281" t="s">
        <v>2124</v>
      </c>
      <c r="C25" s="1282" t="s">
        <v>2127</v>
      </c>
      <c r="D25" s="2440">
        <v>6841</v>
      </c>
      <c r="E25" s="2440"/>
      <c r="F25" s="2440"/>
    </row>
    <row r="26" spans="1:6" ht="20.65" customHeight="1" x14ac:dyDescent="0.2">
      <c r="A26" s="1280"/>
      <c r="B26" s="1281" t="s">
        <v>2125</v>
      </c>
      <c r="C26" s="1282" t="s">
        <v>2127</v>
      </c>
      <c r="D26" s="2440">
        <v>106224</v>
      </c>
      <c r="E26" s="2440"/>
      <c r="F26" s="2440"/>
    </row>
    <row r="27" spans="1:6" ht="20.65" customHeight="1" x14ac:dyDescent="0.2">
      <c r="A27" s="1280"/>
      <c r="B27" s="1281" t="s">
        <v>2126</v>
      </c>
      <c r="C27" s="1282" t="s">
        <v>2127</v>
      </c>
      <c r="D27" s="2440">
        <v>9066</v>
      </c>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0"/>
      <c r="D30" s="1901"/>
      <c r="E30" s="1283"/>
    </row>
    <row r="31" spans="1:6" ht="12" customHeight="1" x14ac:dyDescent="0.2">
      <c r="A31" s="1284" t="s">
        <v>1549</v>
      </c>
      <c r="B31" s="328"/>
      <c r="C31" s="1460"/>
      <c r="D31" s="1901"/>
      <c r="E31" s="1283"/>
    </row>
    <row r="32" spans="1:6" ht="30" customHeight="1" x14ac:dyDescent="0.2">
      <c r="A32" s="2441" t="s">
        <v>2114</v>
      </c>
      <c r="B32" s="2441"/>
      <c r="C32" s="2441"/>
      <c r="D32" s="2441"/>
      <c r="E32" s="2441"/>
      <c r="F32" s="2441"/>
    </row>
    <row r="33" spans="1:6" ht="13.5" customHeight="1" x14ac:dyDescent="0.2">
      <c r="A33" s="328" t="s">
        <v>1434</v>
      </c>
      <c r="B33" s="328"/>
      <c r="C33" s="1285">
        <v>0</v>
      </c>
      <c r="D33" s="1901"/>
      <c r="E33" s="1283"/>
    </row>
    <row r="34" spans="1:6" ht="13.5" customHeight="1" x14ac:dyDescent="0.2">
      <c r="A34" s="328" t="s">
        <v>1835</v>
      </c>
      <c r="B34" s="328"/>
      <c r="C34" s="1286">
        <v>0</v>
      </c>
      <c r="D34" s="1901" t="s">
        <v>1589</v>
      </c>
      <c r="E34" s="2442">
        <f>+C33+C34</f>
        <v>0</v>
      </c>
      <c r="F34" s="2443"/>
    </row>
    <row r="35" spans="1:6" ht="12" customHeight="1" x14ac:dyDescent="0.2">
      <c r="A35" s="328"/>
      <c r="B35" s="328"/>
      <c r="C35" s="1902"/>
      <c r="D35" s="1901"/>
      <c r="E35" s="1287"/>
      <c r="F35" s="1288"/>
    </row>
    <row r="36" spans="1:6" ht="13.5" customHeight="1" x14ac:dyDescent="0.2">
      <c r="A36" s="1284" t="s">
        <v>1550</v>
      </c>
      <c r="B36" s="328"/>
      <c r="C36" s="1460"/>
      <c r="D36" s="1901"/>
      <c r="E36" s="1283"/>
    </row>
    <row r="37" spans="1:6" ht="14.25" customHeight="1" x14ac:dyDescent="0.2">
      <c r="A37" s="328" t="s">
        <v>1484</v>
      </c>
      <c r="B37" s="328"/>
      <c r="C37" s="1903"/>
      <c r="D37" s="1901"/>
      <c r="E37" s="1283"/>
    </row>
    <row r="38" spans="1:6" ht="14.25" customHeight="1" x14ac:dyDescent="0.2">
      <c r="A38" s="328"/>
      <c r="B38" s="328" t="s">
        <v>1435</v>
      </c>
      <c r="C38" s="1289">
        <v>0</v>
      </c>
      <c r="D38" s="1901"/>
      <c r="E38" s="1283"/>
    </row>
    <row r="39" spans="1:6" ht="14.25" customHeight="1" x14ac:dyDescent="0.2">
      <c r="A39" s="328"/>
      <c r="B39" s="328" t="s">
        <v>1436</v>
      </c>
      <c r="C39" s="1289">
        <v>0</v>
      </c>
      <c r="D39" s="1901"/>
      <c r="E39" s="1283"/>
    </row>
    <row r="40" spans="1:6" ht="14.25" customHeight="1" x14ac:dyDescent="0.2">
      <c r="A40" s="328"/>
      <c r="B40" s="328" t="s">
        <v>1437</v>
      </c>
      <c r="C40" s="1289">
        <v>0</v>
      </c>
      <c r="D40" s="1901"/>
      <c r="E40" s="1283"/>
    </row>
    <row r="41" spans="1:6" ht="14.25" customHeight="1" x14ac:dyDescent="0.2">
      <c r="A41" s="328"/>
      <c r="B41" s="328" t="s">
        <v>1438</v>
      </c>
      <c r="C41" s="1289">
        <v>0</v>
      </c>
      <c r="D41" s="1901"/>
      <c r="E41" s="1283"/>
    </row>
    <row r="42" spans="1:6" ht="14.25" customHeight="1" x14ac:dyDescent="0.2">
      <c r="A42" s="328" t="s">
        <v>1439</v>
      </c>
      <c r="B42" s="328"/>
      <c r="C42" s="1899">
        <v>0</v>
      </c>
      <c r="D42" s="1901"/>
      <c r="E42" s="1283"/>
    </row>
    <row r="43" spans="1:6" ht="14.25" customHeight="1" x14ac:dyDescent="0.2">
      <c r="A43" s="328" t="s">
        <v>1440</v>
      </c>
      <c r="B43" s="328"/>
      <c r="C43" s="1290" t="s">
        <v>383</v>
      </c>
      <c r="D43" s="1901"/>
      <c r="E43" s="1283"/>
    </row>
    <row r="44" spans="1:6" ht="14.25" customHeight="1" x14ac:dyDescent="0.2">
      <c r="A44" s="328"/>
      <c r="B44" s="328"/>
      <c r="C44" s="1903" t="s">
        <v>1441</v>
      </c>
      <c r="D44" s="1901"/>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4" t="s">
        <v>1590</v>
      </c>
      <c r="C49" s="2444"/>
      <c r="D49" s="2444"/>
      <c r="E49" s="1394"/>
    </row>
    <row r="50" spans="1:5" s="1297" customFormat="1" ht="3.75" customHeight="1" x14ac:dyDescent="0.2">
      <c r="A50" s="1296"/>
      <c r="B50" s="1843"/>
      <c r="C50" s="1843"/>
      <c r="D50" s="1843"/>
      <c r="E50" s="1394"/>
    </row>
    <row r="51" spans="1:5" s="1297" customFormat="1" ht="20.25" customHeight="1" x14ac:dyDescent="0.2">
      <c r="A51" s="1298">
        <v>6</v>
      </c>
      <c r="B51" s="2439" t="s">
        <v>1551</v>
      </c>
      <c r="C51" s="2439"/>
      <c r="D51" s="2439"/>
    </row>
    <row r="52" spans="1:5" ht="14.25" customHeight="1" x14ac:dyDescent="0.2">
      <c r="A52" s="1298"/>
      <c r="B52" s="2439"/>
      <c r="C52" s="2439"/>
      <c r="D52" s="243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K143"/>
  <sheetViews>
    <sheetView showGridLines="0" defaultGridColor="0" topLeftCell="A74" colorId="8" zoomScale="110" zoomScaleNormal="11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6" t="s">
        <v>1168</v>
      </c>
      <c r="B2" s="2056"/>
      <c r="C2" s="2056"/>
      <c r="D2" s="2056"/>
      <c r="E2" s="2056"/>
      <c r="F2" s="2056"/>
      <c r="G2" s="2056"/>
      <c r="H2" s="2056"/>
      <c r="I2" s="2056"/>
      <c r="J2" s="205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0" t="s">
        <v>1633</v>
      </c>
      <c r="B35" s="2071"/>
      <c r="C35" s="2071"/>
      <c r="D35" s="2071"/>
      <c r="E35" s="2072"/>
      <c r="F35" s="2072"/>
      <c r="G35" s="2072"/>
      <c r="H35" s="2072"/>
      <c r="I35" s="207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0" t="s">
        <v>313</v>
      </c>
      <c r="B47" s="2073"/>
      <c r="C47" s="2073"/>
      <c r="D47" s="2073"/>
      <c r="E47" s="2074"/>
      <c r="F47" s="2074"/>
      <c r="G47" s="2074"/>
      <c r="H47" s="2074"/>
      <c r="I47" s="207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7"/>
      <c r="C57" s="2078"/>
      <c r="D57" s="2078"/>
      <c r="E57" s="2078"/>
      <c r="F57" s="2078"/>
      <c r="G57" s="2078"/>
      <c r="H57" s="2078"/>
      <c r="I57" s="2078"/>
      <c r="J57" s="2079"/>
    </row>
    <row r="58" spans="1:10" s="181" customFormat="1" x14ac:dyDescent="0.2">
      <c r="A58" s="253"/>
      <c r="B58" s="2080"/>
      <c r="C58" s="2081"/>
      <c r="D58" s="2081"/>
      <c r="E58" s="2081"/>
      <c r="F58" s="2081"/>
      <c r="G58" s="2081"/>
      <c r="H58" s="2081"/>
      <c r="I58" s="2081"/>
      <c r="J58" s="2082"/>
    </row>
    <row r="59" spans="1:10" s="181" customFormat="1" x14ac:dyDescent="0.2">
      <c r="A59" s="253"/>
      <c r="B59" s="2080"/>
      <c r="C59" s="2081"/>
      <c r="D59" s="2081"/>
      <c r="E59" s="2081"/>
      <c r="F59" s="2081"/>
      <c r="G59" s="2081"/>
      <c r="H59" s="2081"/>
      <c r="I59" s="2081"/>
      <c r="J59" s="2082"/>
    </row>
    <row r="60" spans="1:10" s="181" customFormat="1" x14ac:dyDescent="0.2">
      <c r="A60" s="253"/>
      <c r="B60" s="2080"/>
      <c r="C60" s="2081"/>
      <c r="D60" s="2081"/>
      <c r="E60" s="2081"/>
      <c r="F60" s="2081"/>
      <c r="G60" s="2081"/>
      <c r="H60" s="2081"/>
      <c r="I60" s="2081"/>
      <c r="J60" s="2082"/>
    </row>
    <row r="61" spans="1:10" s="181" customFormat="1" x14ac:dyDescent="0.2">
      <c r="A61" s="253"/>
      <c r="B61" s="2080"/>
      <c r="C61" s="2081"/>
      <c r="D61" s="2081"/>
      <c r="E61" s="2081"/>
      <c r="F61" s="2081"/>
      <c r="G61" s="2081"/>
      <c r="H61" s="2081"/>
      <c r="I61" s="2081"/>
      <c r="J61" s="2082"/>
    </row>
    <row r="62" spans="1:10" s="181" customFormat="1" x14ac:dyDescent="0.2">
      <c r="A62" s="253"/>
      <c r="B62" s="2080"/>
      <c r="C62" s="2081"/>
      <c r="D62" s="2081"/>
      <c r="E62" s="2081"/>
      <c r="F62" s="2081"/>
      <c r="G62" s="2081"/>
      <c r="H62" s="2081"/>
      <c r="I62" s="2081"/>
      <c r="J62" s="2082"/>
    </row>
    <row r="63" spans="1:10" s="181" customFormat="1" x14ac:dyDescent="0.2">
      <c r="A63" s="253"/>
      <c r="B63" s="2080"/>
      <c r="C63" s="2081"/>
      <c r="D63" s="2081"/>
      <c r="E63" s="2081"/>
      <c r="F63" s="2081"/>
      <c r="G63" s="2081"/>
      <c r="H63" s="2081"/>
      <c r="I63" s="2081"/>
      <c r="J63" s="2082"/>
    </row>
    <row r="64" spans="1:10" s="181" customFormat="1" x14ac:dyDescent="0.2">
      <c r="A64" s="253"/>
      <c r="B64" s="2080"/>
      <c r="C64" s="2081"/>
      <c r="D64" s="2081"/>
      <c r="E64" s="2081"/>
      <c r="F64" s="2081"/>
      <c r="G64" s="2081"/>
      <c r="H64" s="2081"/>
      <c r="I64" s="2081"/>
      <c r="J64" s="2082"/>
    </row>
    <row r="65" spans="1:10" s="181" customFormat="1" x14ac:dyDescent="0.2">
      <c r="A65" s="253"/>
      <c r="B65" s="2080"/>
      <c r="C65" s="2081"/>
      <c r="D65" s="2081"/>
      <c r="E65" s="2081"/>
      <c r="F65" s="2081"/>
      <c r="G65" s="2081"/>
      <c r="H65" s="2081"/>
      <c r="I65" s="2081"/>
      <c r="J65" s="2082"/>
    </row>
    <row r="66" spans="1:10" s="181" customFormat="1" x14ac:dyDescent="0.2">
      <c r="A66" s="253"/>
      <c r="B66" s="2080"/>
      <c r="C66" s="2081"/>
      <c r="D66" s="2081"/>
      <c r="E66" s="2081"/>
      <c r="F66" s="2081"/>
      <c r="G66" s="2081"/>
      <c r="H66" s="2081"/>
      <c r="I66" s="2081"/>
      <c r="J66" s="2082"/>
    </row>
    <row r="67" spans="1:10" s="181" customFormat="1" ht="9" customHeight="1" x14ac:dyDescent="0.2">
      <c r="A67" s="254"/>
      <c r="B67" s="2083"/>
      <c r="C67" s="2084"/>
      <c r="D67" s="2084"/>
      <c r="E67" s="2084"/>
      <c r="F67" s="2084"/>
      <c r="G67" s="2084"/>
      <c r="H67" s="2084"/>
      <c r="I67" s="2084"/>
      <c r="J67" s="20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0" t="s">
        <v>1323</v>
      </c>
      <c r="B70" s="2073"/>
      <c r="C70" s="2073"/>
      <c r="D70" s="2073"/>
      <c r="E70" s="2074"/>
      <c r="F70" s="2074"/>
      <c r="G70" s="2074"/>
      <c r="H70" s="2074"/>
      <c r="I70" s="207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5" t="s">
        <v>1320</v>
      </c>
      <c r="B83" s="2075"/>
      <c r="C83" s="2075"/>
      <c r="D83" s="207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7"/>
      <c r="C102" s="2058"/>
      <c r="D102" s="2058"/>
      <c r="E102" s="2058"/>
      <c r="F102" s="2058"/>
      <c r="G102" s="2058"/>
      <c r="H102" s="2058"/>
      <c r="I102" s="2059"/>
    </row>
    <row r="103" spans="1:9" s="181" customFormat="1" ht="11.25" customHeight="1" x14ac:dyDescent="0.2">
      <c r="A103" s="316"/>
      <c r="B103" s="2060"/>
      <c r="C103" s="2061"/>
      <c r="D103" s="2061"/>
      <c r="E103" s="2061"/>
      <c r="F103" s="2061"/>
      <c r="G103" s="2061"/>
      <c r="H103" s="2061"/>
      <c r="I103" s="2062"/>
    </row>
    <row r="104" spans="1:9" s="181" customFormat="1" ht="11.25" customHeight="1" x14ac:dyDescent="0.2">
      <c r="A104" s="316"/>
      <c r="B104" s="2060"/>
      <c r="C104" s="2061"/>
      <c r="D104" s="2061"/>
      <c r="E104" s="2061"/>
      <c r="F104" s="2061"/>
      <c r="G104" s="2061"/>
      <c r="H104" s="2061"/>
      <c r="I104" s="2062"/>
    </row>
    <row r="105" spans="1:9" s="181" customFormat="1" x14ac:dyDescent="0.2">
      <c r="A105" s="316"/>
      <c r="B105" s="2060"/>
      <c r="C105" s="2061"/>
      <c r="D105" s="2061"/>
      <c r="E105" s="2061"/>
      <c r="F105" s="2061"/>
      <c r="G105" s="2061"/>
      <c r="H105" s="2061"/>
      <c r="I105" s="2062"/>
    </row>
    <row r="106" spans="1:9" s="181" customFormat="1" ht="11.25" customHeight="1" x14ac:dyDescent="0.2">
      <c r="A106" s="316"/>
      <c r="B106" s="2060"/>
      <c r="C106" s="2061"/>
      <c r="D106" s="2061"/>
      <c r="E106" s="2061"/>
      <c r="F106" s="2061"/>
      <c r="G106" s="2061"/>
      <c r="H106" s="2061"/>
      <c r="I106" s="2062"/>
    </row>
    <row r="107" spans="1:9" s="181" customFormat="1" ht="11.25" customHeight="1" x14ac:dyDescent="0.2">
      <c r="A107" s="316"/>
      <c r="B107" s="2060"/>
      <c r="C107" s="2061"/>
      <c r="D107" s="2061"/>
      <c r="E107" s="2061"/>
      <c r="F107" s="2061"/>
      <c r="G107" s="2061"/>
      <c r="H107" s="2061"/>
      <c r="I107" s="2062"/>
    </row>
    <row r="108" spans="1:9" s="181" customFormat="1" ht="11.25" customHeight="1" x14ac:dyDescent="0.2">
      <c r="A108" s="316"/>
      <c r="B108" s="2060"/>
      <c r="C108" s="2061"/>
      <c r="D108" s="2061"/>
      <c r="E108" s="2061"/>
      <c r="F108" s="2061"/>
      <c r="G108" s="2061"/>
      <c r="H108" s="2061"/>
      <c r="I108" s="2062"/>
    </row>
    <row r="109" spans="1:9" s="181" customFormat="1" ht="11.25" customHeight="1" x14ac:dyDescent="0.2">
      <c r="A109" s="316"/>
      <c r="B109" s="2060"/>
      <c r="C109" s="2061"/>
      <c r="D109" s="2061"/>
      <c r="E109" s="2061"/>
      <c r="F109" s="2061"/>
      <c r="G109" s="2061"/>
      <c r="H109" s="2061"/>
      <c r="I109" s="2062"/>
    </row>
    <row r="110" spans="1:9" s="181" customFormat="1" ht="11.25" customHeight="1" x14ac:dyDescent="0.2">
      <c r="A110" s="316"/>
      <c r="B110" s="2060"/>
      <c r="C110" s="2061"/>
      <c r="D110" s="2061"/>
      <c r="E110" s="2061"/>
      <c r="F110" s="2061"/>
      <c r="G110" s="2061"/>
      <c r="H110" s="2061"/>
      <c r="I110" s="2062"/>
    </row>
    <row r="111" spans="1:9" s="181" customFormat="1" ht="11.25" customHeight="1" x14ac:dyDescent="0.2">
      <c r="A111" s="316"/>
      <c r="B111" s="2060"/>
      <c r="C111" s="2061"/>
      <c r="D111" s="2061"/>
      <c r="E111" s="2061"/>
      <c r="F111" s="2061"/>
      <c r="G111" s="2061"/>
      <c r="H111" s="2061"/>
      <c r="I111" s="2062"/>
    </row>
    <row r="112" spans="1:9" s="181" customFormat="1" ht="11.25" customHeight="1" x14ac:dyDescent="0.2">
      <c r="A112" s="316"/>
      <c r="B112" s="2063"/>
      <c r="C112" s="2064"/>
      <c r="D112" s="2064"/>
      <c r="E112" s="2064"/>
      <c r="F112" s="2064"/>
      <c r="G112" s="2064"/>
      <c r="H112" s="2064"/>
      <c r="I112" s="20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6" t="s">
        <v>2061</v>
      </c>
      <c r="D114" s="206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7" t="s">
        <v>1330</v>
      </c>
      <c r="D117" s="2068"/>
      <c r="E117" s="2069"/>
      <c r="F117" s="2069"/>
      <c r="G117" s="2069"/>
      <c r="H117" s="2069"/>
      <c r="I117" s="304"/>
    </row>
    <row r="118" spans="1:9" s="181" customFormat="1" ht="24" customHeight="1" x14ac:dyDescent="0.2">
      <c r="A118" s="316"/>
      <c r="B118" s="316"/>
      <c r="C118" s="316"/>
      <c r="D118" s="323" t="s">
        <v>2077</v>
      </c>
      <c r="E118" s="322"/>
      <c r="F118" s="324"/>
      <c r="G118" s="1838"/>
      <c r="H118" s="322"/>
      <c r="I118" s="304"/>
    </row>
    <row r="119" spans="1:9" s="181" customFormat="1" ht="11.25" customHeight="1" x14ac:dyDescent="0.2">
      <c r="A119" s="325"/>
      <c r="B119" s="325"/>
      <c r="C119" s="326"/>
      <c r="D119" s="327" t="s">
        <v>361</v>
      </c>
      <c r="E119" s="310"/>
      <c r="F119" s="1837" t="s">
        <v>1902</v>
      </c>
      <c r="G119" s="328"/>
      <c r="H119" s="328"/>
      <c r="I119" s="304"/>
    </row>
    <row r="120" spans="1:9" x14ac:dyDescent="0.2">
      <c r="A120" s="329"/>
      <c r="B120" s="180"/>
      <c r="C120" s="330"/>
      <c r="D120" s="256"/>
      <c r="E120" s="256"/>
      <c r="F120" s="256"/>
      <c r="G120" s="256"/>
      <c r="H120" s="256"/>
      <c r="I120" s="304"/>
    </row>
    <row r="121" spans="1:9" x14ac:dyDescent="0.2">
      <c r="A121" s="329"/>
      <c r="B121" s="148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63"/>
  <sheetViews>
    <sheetView showGridLines="0" topLeftCell="A13" zoomScale="110" zoomScaleNormal="110" workbookViewId="0">
      <selection activeCell="D24" sqref="D24"/>
    </sheetView>
  </sheetViews>
  <sheetFormatPr defaultColWidth="9.140625" defaultRowHeight="12.75" x14ac:dyDescent="0.2"/>
  <cols>
    <col min="1" max="1" width="1.42578125" style="1297" customWidth="1"/>
    <col min="2" max="2" width="24.42578125" style="1352"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2" t="str">
        <f>'Single Audit Cover'!A7</f>
        <v>Grundy County Spec Educ Coop</v>
      </c>
      <c r="C1" s="2463"/>
      <c r="D1" s="2463"/>
      <c r="E1" s="2463"/>
      <c r="F1" s="2463"/>
      <c r="G1" s="2463"/>
      <c r="H1" s="2463"/>
      <c r="I1" s="2463"/>
      <c r="J1" s="1404"/>
    </row>
    <row r="2" spans="2:10" s="317" customFormat="1" ht="12.75" customHeight="1" x14ac:dyDescent="0.2">
      <c r="B2" s="2464">
        <f>'Single Audit Cover'!E7</f>
        <v>24032101061</v>
      </c>
      <c r="C2" s="2465"/>
      <c r="D2" s="2465"/>
      <c r="E2" s="2465"/>
      <c r="F2" s="2465"/>
      <c r="G2" s="2465"/>
      <c r="H2" s="2465"/>
      <c r="I2" s="2465"/>
      <c r="J2" s="1404"/>
    </row>
    <row r="3" spans="2:10" s="317" customFormat="1" ht="12.75" customHeight="1" x14ac:dyDescent="0.2">
      <c r="B3" s="2466" t="s">
        <v>1285</v>
      </c>
      <c r="C3" s="2467"/>
      <c r="D3" s="2467"/>
      <c r="E3" s="2467"/>
      <c r="F3" s="2467"/>
      <c r="G3" s="2467"/>
      <c r="H3" s="2467"/>
      <c r="I3" s="2467"/>
      <c r="J3" s="1405"/>
    </row>
    <row r="4" spans="2:10" s="317" customFormat="1" ht="12.75" customHeight="1" x14ac:dyDescent="0.2">
      <c r="B4" s="2466" t="str">
        <f>'Single Audit Cover'!A4</f>
        <v>Year Ending June 30, 2019</v>
      </c>
      <c r="C4" s="2467"/>
      <c r="D4" s="2467"/>
      <c r="E4" s="2467"/>
      <c r="F4" s="2467"/>
      <c r="G4" s="2467"/>
      <c r="H4" s="2467"/>
      <c r="I4" s="2467"/>
    </row>
    <row r="5" spans="2:10" s="317" customFormat="1" ht="6.2" customHeight="1" x14ac:dyDescent="0.2">
      <c r="B5" s="1406" t="s">
        <v>1169</v>
      </c>
      <c r="C5" s="1291"/>
      <c r="D5" s="1291"/>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66" t="s">
        <v>1284</v>
      </c>
      <c r="C7" s="2467"/>
      <c r="D7" s="2467"/>
      <c r="E7" s="2467"/>
      <c r="F7" s="2467"/>
      <c r="G7" s="2467"/>
      <c r="H7" s="2467"/>
      <c r="I7" s="2467"/>
    </row>
    <row r="8" spans="2:10" s="317" customFormat="1" ht="6.2" customHeight="1" x14ac:dyDescent="0.2">
      <c r="B8" s="1408" t="s">
        <v>1169</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1283</v>
      </c>
      <c r="C10" s="1413"/>
      <c r="D10" s="1413"/>
      <c r="E10" s="1255"/>
    </row>
    <row r="11" spans="2:10" s="317" customFormat="1" ht="13.5" customHeight="1" x14ac:dyDescent="0.2">
      <c r="B11" s="1344" t="s">
        <v>1282</v>
      </c>
      <c r="C11" s="2468" t="s">
        <v>2128</v>
      </c>
      <c r="D11" s="2468"/>
      <c r="E11" s="1414"/>
      <c r="F11" s="1414"/>
      <c r="G11" s="1414"/>
    </row>
    <row r="12" spans="2:10" s="317" customFormat="1" ht="11.45" customHeight="1" x14ac:dyDescent="0.2">
      <c r="B12" s="1352"/>
      <c r="C12" s="1415" t="s">
        <v>1442</v>
      </c>
      <c r="D12" s="1416"/>
      <c r="E12" s="1255"/>
    </row>
    <row r="13" spans="2:10" s="317" customFormat="1" ht="12.75" customHeight="1" x14ac:dyDescent="0.2">
      <c r="B13" s="1417"/>
      <c r="C13" s="1382"/>
      <c r="D13" s="1382"/>
      <c r="E13" s="1255"/>
    </row>
    <row r="14" spans="2:10" s="317" customFormat="1" ht="12.75" customHeight="1" x14ac:dyDescent="0.2">
      <c r="B14" s="1363" t="s">
        <v>1281</v>
      </c>
      <c r="C14" s="1279"/>
      <c r="E14" s="1255"/>
    </row>
    <row r="15" spans="2:10" s="317" customFormat="1" ht="13.5" customHeight="1" x14ac:dyDescent="0.2">
      <c r="B15" s="1418" t="s">
        <v>1278</v>
      </c>
      <c r="C15" s="1419"/>
      <c r="D15" s="1393"/>
      <c r="E15" s="1420" t="s">
        <v>2129</v>
      </c>
      <c r="F15" s="1297" t="s">
        <v>885</v>
      </c>
      <c r="G15" s="1420"/>
      <c r="H15" s="1297" t="s">
        <v>1276</v>
      </c>
      <c r="I15" s="1297"/>
    </row>
    <row r="16" spans="2:10" s="317" customFormat="1" ht="8.4499999999999993" customHeight="1" x14ac:dyDescent="0.2">
      <c r="B16" s="1363"/>
      <c r="C16" s="1279"/>
      <c r="E16" s="1378"/>
      <c r="F16" s="1297"/>
      <c r="G16" s="322"/>
      <c r="H16" s="1297"/>
      <c r="I16" s="1297"/>
    </row>
    <row r="17" spans="2:9" s="317" customFormat="1" ht="13.5" customHeight="1" x14ac:dyDescent="0.2">
      <c r="B17" s="1418" t="s">
        <v>1277</v>
      </c>
      <c r="C17" s="1419"/>
      <c r="D17" s="1393"/>
      <c r="E17" s="1421"/>
      <c r="F17" s="1254"/>
      <c r="G17" s="1421"/>
      <c r="H17" s="1297"/>
      <c r="I17" s="1297"/>
    </row>
    <row r="18" spans="2:9" s="317" customFormat="1" ht="12.75" customHeight="1" x14ac:dyDescent="0.2">
      <c r="B18" s="1418" t="s">
        <v>1443</v>
      </c>
      <c r="C18" s="1419"/>
      <c r="D18" s="1393"/>
      <c r="E18" s="1420"/>
      <c r="F18" s="1297" t="s">
        <v>885</v>
      </c>
      <c r="G18" s="1420" t="s">
        <v>2070</v>
      </c>
      <c r="H18" s="1297" t="s">
        <v>1276</v>
      </c>
      <c r="I18" s="1297"/>
    </row>
    <row r="19" spans="2:9" s="317" customFormat="1" ht="8.4499999999999993" customHeight="1" x14ac:dyDescent="0.2">
      <c r="B19" s="1363"/>
      <c r="C19" s="1279"/>
      <c r="E19" s="1378"/>
      <c r="F19" s="1297"/>
      <c r="G19" s="322"/>
      <c r="H19" s="1297"/>
      <c r="I19" s="1297"/>
    </row>
    <row r="20" spans="2:9" s="317" customFormat="1" ht="13.5" customHeight="1" x14ac:dyDescent="0.2">
      <c r="B20" s="1418" t="s">
        <v>1591</v>
      </c>
      <c r="C20" s="1419"/>
      <c r="D20" s="1393"/>
      <c r="E20" s="1420"/>
      <c r="F20" s="1297" t="s">
        <v>885</v>
      </c>
      <c r="G20" s="1420" t="s">
        <v>2070</v>
      </c>
      <c r="H20" s="1297" t="s">
        <v>99</v>
      </c>
      <c r="I20" s="1297"/>
    </row>
    <row r="21" spans="2:9" s="317" customFormat="1" ht="12.75" customHeight="1" x14ac:dyDescent="0.2">
      <c r="B21" s="1363"/>
      <c r="C21" s="1279"/>
      <c r="E21" s="1378"/>
      <c r="F21" s="1297"/>
      <c r="G21" s="322"/>
      <c r="H21" s="1297"/>
      <c r="I21" s="1297"/>
    </row>
    <row r="22" spans="2:9" s="317" customFormat="1" ht="12.75" customHeight="1" x14ac:dyDescent="0.2">
      <c r="B22" s="1412" t="s">
        <v>1280</v>
      </c>
      <c r="C22" s="1422"/>
      <c r="D22" s="1413"/>
      <c r="E22" s="1378"/>
      <c r="F22" s="1297"/>
      <c r="G22" s="322"/>
      <c r="H22" s="1297"/>
      <c r="I22" s="1297"/>
    </row>
    <row r="23" spans="2:9" s="317" customFormat="1" ht="12.75" customHeight="1" x14ac:dyDescent="0.2">
      <c r="B23" s="1363" t="s">
        <v>1279</v>
      </c>
      <c r="C23" s="1279"/>
      <c r="E23" s="1378"/>
      <c r="F23" s="1297"/>
      <c r="G23" s="322"/>
      <c r="H23" s="1297"/>
      <c r="I23" s="1297"/>
    </row>
    <row r="24" spans="2:9" s="317" customFormat="1" ht="13.5" customHeight="1" x14ac:dyDescent="0.2">
      <c r="B24" s="1418" t="s">
        <v>1278</v>
      </c>
      <c r="C24" s="1419"/>
      <c r="D24" s="1393"/>
      <c r="E24" s="1420"/>
      <c r="F24" s="1297" t="s">
        <v>885</v>
      </c>
      <c r="G24" s="1420" t="s">
        <v>2070</v>
      </c>
      <c r="H24" s="1297" t="s">
        <v>1276</v>
      </c>
      <c r="I24" s="1297"/>
    </row>
    <row r="25" spans="2:9" s="317" customFormat="1" ht="8.4499999999999993" customHeight="1" x14ac:dyDescent="0.2">
      <c r="B25" s="1363"/>
      <c r="C25" s="1279"/>
      <c r="E25" s="1378"/>
      <c r="F25" s="1297"/>
      <c r="G25" s="322"/>
      <c r="H25" s="1297"/>
      <c r="I25" s="1297"/>
    </row>
    <row r="26" spans="2:9" s="317" customFormat="1" ht="13.5" customHeight="1" x14ac:dyDescent="0.2">
      <c r="B26" s="1418" t="s">
        <v>1277</v>
      </c>
      <c r="C26" s="1419"/>
      <c r="D26" s="1393"/>
      <c r="E26" s="1421"/>
      <c r="F26" s="1254"/>
      <c r="G26" s="1421"/>
      <c r="H26" s="1297"/>
      <c r="I26" s="1297"/>
    </row>
    <row r="27" spans="2:9" s="317" customFormat="1" ht="12.75" customHeight="1" x14ac:dyDescent="0.2">
      <c r="B27" s="1418" t="s">
        <v>1443</v>
      </c>
      <c r="C27" s="1419"/>
      <c r="D27" s="1393"/>
      <c r="E27" s="1420" t="s">
        <v>2070</v>
      </c>
      <c r="F27" s="1297" t="s">
        <v>885</v>
      </c>
      <c r="G27" s="1420"/>
      <c r="H27" s="1297" t="s">
        <v>1276</v>
      </c>
      <c r="I27" s="1297"/>
    </row>
    <row r="28" spans="2:9" s="317" customFormat="1" ht="12.75" customHeight="1" x14ac:dyDescent="0.2">
      <c r="B28" s="1363"/>
      <c r="C28" s="1279"/>
      <c r="E28" s="1255"/>
    </row>
    <row r="29" spans="2:9" s="317" customFormat="1" ht="12.75" customHeight="1" x14ac:dyDescent="0.2">
      <c r="B29" s="1363" t="s">
        <v>1275</v>
      </c>
      <c r="C29" s="1279"/>
      <c r="D29" s="2469" t="s">
        <v>2128</v>
      </c>
      <c r="E29" s="2469"/>
      <c r="F29" s="2469"/>
      <c r="G29" s="2469"/>
      <c r="H29" s="2469"/>
      <c r="I29" s="2469"/>
    </row>
    <row r="30" spans="2:9" s="317" customFormat="1" x14ac:dyDescent="0.2">
      <c r="B30" s="1363"/>
      <c r="C30" s="322"/>
      <c r="D30" s="1415" t="s">
        <v>1745</v>
      </c>
      <c r="E30" s="1416"/>
      <c r="F30" s="1416"/>
      <c r="G30" s="1416"/>
      <c r="H30" s="1416"/>
      <c r="I30" s="1416"/>
    </row>
    <row r="31" spans="2:9" s="317" customFormat="1" ht="9.9499999999999993" customHeight="1" x14ac:dyDescent="0.2">
      <c r="B31" s="1363"/>
      <c r="E31" s="1255"/>
    </row>
    <row r="32" spans="2:9" s="317" customFormat="1" x14ac:dyDescent="0.2">
      <c r="B32" s="1363" t="s">
        <v>1274</v>
      </c>
      <c r="C32" s="1279"/>
      <c r="E32" s="1255"/>
    </row>
    <row r="33" spans="2:9" ht="13.5" customHeight="1" x14ac:dyDescent="0.2">
      <c r="B33" s="1363" t="s">
        <v>1552</v>
      </c>
      <c r="C33" s="1279"/>
      <c r="E33" s="1420" t="s">
        <v>2070</v>
      </c>
      <c r="F33" s="1297" t="s">
        <v>885</v>
      </c>
      <c r="G33" s="1420"/>
      <c r="H33" s="1297" t="s">
        <v>99</v>
      </c>
    </row>
    <row r="35" spans="2:9" x14ac:dyDescent="0.2">
      <c r="B35" s="1423" t="s">
        <v>1746</v>
      </c>
      <c r="C35" s="1424"/>
      <c r="D35" s="1264"/>
    </row>
    <row r="36" spans="2:9" ht="6" customHeight="1" x14ac:dyDescent="0.2">
      <c r="B36" s="1423"/>
      <c r="C36" s="1424"/>
      <c r="D36" s="1264"/>
    </row>
    <row r="37" spans="2:9" ht="17.25" customHeight="1" x14ac:dyDescent="0.2">
      <c r="B37" s="1425" t="s">
        <v>1747</v>
      </c>
      <c r="C37" s="2470" t="s">
        <v>1748</v>
      </c>
      <c r="D37" s="2471"/>
      <c r="E37" s="2471"/>
      <c r="F37" s="2472"/>
      <c r="G37" s="2470" t="s">
        <v>1592</v>
      </c>
      <c r="H37" s="2471"/>
      <c r="I37" s="2472"/>
    </row>
    <row r="38" spans="2:9" ht="16.5" customHeight="1" x14ac:dyDescent="0.2">
      <c r="B38" s="1426">
        <v>84.027000000000001</v>
      </c>
      <c r="C38" s="2458" t="s">
        <v>2130</v>
      </c>
      <c r="D38" s="2459"/>
      <c r="E38" s="2459"/>
      <c r="F38" s="2460"/>
      <c r="G38" s="2473">
        <v>2635351</v>
      </c>
      <c r="H38" s="2474"/>
      <c r="I38" s="2475"/>
    </row>
    <row r="39" spans="2:9" ht="16.5" customHeight="1" x14ac:dyDescent="0.2">
      <c r="B39" s="1426">
        <v>84.173000000000002</v>
      </c>
      <c r="C39" s="2458" t="s">
        <v>2131</v>
      </c>
      <c r="D39" s="2459"/>
      <c r="E39" s="2459"/>
      <c r="F39" s="2460"/>
      <c r="G39" s="2461">
        <v>35419</v>
      </c>
      <c r="H39" s="2461"/>
      <c r="I39" s="2461"/>
    </row>
    <row r="40" spans="2:9" ht="16.5" customHeight="1" x14ac:dyDescent="0.2">
      <c r="B40" s="1426"/>
      <c r="C40" s="2458"/>
      <c r="D40" s="2459"/>
      <c r="E40" s="2459"/>
      <c r="F40" s="2460"/>
      <c r="G40" s="2461"/>
      <c r="H40" s="2461"/>
      <c r="I40" s="2461"/>
    </row>
    <row r="41" spans="2:9" ht="16.5" customHeight="1" x14ac:dyDescent="0.2">
      <c r="B41" s="1426"/>
      <c r="C41" s="2458"/>
      <c r="D41" s="2459"/>
      <c r="E41" s="2459"/>
      <c r="F41" s="2460"/>
      <c r="G41" s="2461"/>
      <c r="H41" s="2461"/>
      <c r="I41" s="2461"/>
    </row>
    <row r="42" spans="2:9" ht="16.5" customHeight="1" x14ac:dyDescent="0.2">
      <c r="B42" s="1426"/>
      <c r="C42" s="2458"/>
      <c r="D42" s="2459"/>
      <c r="E42" s="2459"/>
      <c r="F42" s="2460"/>
      <c r="G42" s="2461"/>
      <c r="H42" s="2461"/>
      <c r="I42" s="2461"/>
    </row>
    <row r="43" spans="2:9" ht="16.5" customHeight="1" x14ac:dyDescent="0.2">
      <c r="B43" s="1426"/>
      <c r="C43" s="2451" t="s">
        <v>1593</v>
      </c>
      <c r="D43" s="2452"/>
      <c r="E43" s="2452"/>
      <c r="F43" s="2453"/>
      <c r="G43" s="2454">
        <f>SUM(G38:I42)</f>
        <v>2670770</v>
      </c>
      <c r="H43" s="2454"/>
      <c r="I43" s="2454"/>
    </row>
    <row r="44" spans="2:9" ht="12.75" customHeight="1" x14ac:dyDescent="0.2"/>
    <row r="45" spans="2:9" ht="12.75" customHeight="1" x14ac:dyDescent="0.2">
      <c r="B45" s="1417" t="s">
        <v>2059</v>
      </c>
      <c r="D45" s="2455">
        <v>2747407</v>
      </c>
      <c r="E45" s="2456"/>
    </row>
    <row r="46" spans="2:9" ht="5.25" customHeight="1" x14ac:dyDescent="0.2">
      <c r="B46" s="1427"/>
      <c r="D46" s="1428"/>
      <c r="E46" s="1429"/>
    </row>
    <row r="47" spans="2:9" ht="12.75" customHeight="1" x14ac:dyDescent="0.2">
      <c r="B47" s="1297" t="s">
        <v>1594</v>
      </c>
      <c r="C47" s="1297"/>
      <c r="D47" s="1430">
        <f>+G43/D45</f>
        <v>0.97210569820925696</v>
      </c>
      <c r="E47" s="1431"/>
      <c r="F47" s="1432"/>
      <c r="I47" s="1433"/>
    </row>
    <row r="48" spans="2:9" ht="9.9499999999999993" customHeight="1" x14ac:dyDescent="0.2"/>
    <row r="49" spans="1:9" x14ac:dyDescent="0.2">
      <c r="B49" s="1363" t="s">
        <v>1273</v>
      </c>
      <c r="C49" s="1279"/>
      <c r="D49" s="1279"/>
      <c r="E49" s="2457">
        <v>750000</v>
      </c>
      <c r="F49" s="2457"/>
      <c r="G49" s="2457"/>
      <c r="H49" s="322"/>
    </row>
    <row r="51" spans="1:9" ht="13.5" customHeight="1" x14ac:dyDescent="0.2">
      <c r="B51" s="1363" t="s">
        <v>1272</v>
      </c>
      <c r="C51" s="1279"/>
      <c r="E51" s="1420"/>
      <c r="F51" s="1297" t="s">
        <v>885</v>
      </c>
      <c r="G51" s="1420" t="s">
        <v>2070</v>
      </c>
      <c r="H51" s="1297" t="s">
        <v>99</v>
      </c>
    </row>
    <row r="52" spans="1:9" x14ac:dyDescent="0.2">
      <c r="B52" s="1355"/>
      <c r="C52" s="1294"/>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1749</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5" customHeight="1" x14ac:dyDescent="0.2">
      <c r="A58" s="1440"/>
      <c r="B58" s="1445" t="s">
        <v>1750</v>
      </c>
      <c r="C58" s="1446"/>
      <c r="D58" s="1446"/>
    </row>
    <row r="59" spans="1:9" s="1443" customFormat="1" ht="3.95" customHeight="1" x14ac:dyDescent="0.2">
      <c r="A59" s="1440"/>
      <c r="B59" s="1445"/>
      <c r="C59" s="1446"/>
      <c r="D59" s="1446"/>
    </row>
    <row r="60" spans="1:9" s="1443" customFormat="1" ht="13.5" customHeight="1" x14ac:dyDescent="0.2">
      <c r="A60" s="1440"/>
      <c r="B60" s="1445" t="s">
        <v>1751</v>
      </c>
      <c r="C60" s="1446"/>
      <c r="D60" s="1446"/>
    </row>
    <row r="61" spans="1:9" s="1443" customFormat="1" ht="3.95" customHeight="1" x14ac:dyDescent="0.2">
      <c r="A61" s="1440"/>
      <c r="B61" s="1445"/>
      <c r="C61" s="1446"/>
      <c r="D61" s="1446"/>
    </row>
    <row r="62" spans="1:9" s="1443" customFormat="1" ht="12.75" customHeight="1" x14ac:dyDescent="0.2">
      <c r="A62" s="1440"/>
      <c r="B62" s="1445" t="s">
        <v>1752</v>
      </c>
      <c r="C62" s="1446"/>
      <c r="D62" s="1446"/>
    </row>
    <row r="63" spans="1:9" s="1443" customFormat="1" ht="13.5" customHeight="1" x14ac:dyDescent="0.2">
      <c r="A63" s="1440"/>
      <c r="B63" s="1444" t="s">
        <v>1597</v>
      </c>
      <c r="C63" s="1440"/>
      <c r="D63" s="1440"/>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1"/>
  <sheetViews>
    <sheetView showGridLines="0" topLeftCell="A28" zoomScale="110" zoomScaleNormal="110" workbookViewId="0">
      <selection activeCell="P34" sqref="P3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2" t="str">
        <f>'Single Audit Cover'!A7</f>
        <v>Grundy County Spec Educ Coop</v>
      </c>
      <c r="C1" s="2462"/>
      <c r="D1" s="2462"/>
      <c r="E1" s="2462"/>
      <c r="F1" s="2462"/>
      <c r="G1" s="2462"/>
      <c r="H1" s="2462"/>
      <c r="I1" s="2462"/>
      <c r="J1" s="2462"/>
      <c r="K1" s="2462"/>
      <c r="L1" s="1369"/>
      <c r="M1" s="1369"/>
    </row>
    <row r="2" spans="1:13" ht="12" customHeight="1" x14ac:dyDescent="0.2">
      <c r="B2" s="2464">
        <f>'Single Audit Cover'!E7</f>
        <v>24032101061</v>
      </c>
      <c r="C2" s="2464"/>
      <c r="D2" s="2464"/>
      <c r="E2" s="2464"/>
      <c r="F2" s="2464"/>
      <c r="G2" s="2464"/>
      <c r="H2" s="2464"/>
      <c r="I2" s="2464"/>
      <c r="J2" s="2464"/>
      <c r="K2" s="2464"/>
      <c r="L2" s="1370"/>
      <c r="M2" s="1371"/>
    </row>
    <row r="3" spans="1:13" ht="10.35" customHeight="1" x14ac:dyDescent="0.2">
      <c r="B3" s="2478" t="s">
        <v>1285</v>
      </c>
      <c r="C3" s="2478"/>
      <c r="D3" s="2478"/>
      <c r="E3" s="2478"/>
      <c r="F3" s="2478"/>
      <c r="G3" s="2478"/>
      <c r="H3" s="2478"/>
      <c r="I3" s="2478"/>
      <c r="J3" s="2478"/>
      <c r="K3" s="2478"/>
      <c r="L3" s="1372"/>
      <c r="M3" s="1372"/>
    </row>
    <row r="4" spans="1:13" ht="14.25" customHeight="1" x14ac:dyDescent="0.2">
      <c r="B4" s="2479" t="str">
        <f>'Single Audit Cover'!A4</f>
        <v>Year Ending June 30, 2019</v>
      </c>
      <c r="C4" s="2479"/>
      <c r="D4" s="2479"/>
      <c r="E4" s="2479"/>
      <c r="F4" s="2479"/>
      <c r="G4" s="2479"/>
      <c r="H4" s="2479"/>
      <c r="I4" s="2479"/>
      <c r="J4" s="2479"/>
      <c r="K4" s="2479"/>
      <c r="L4" s="313"/>
      <c r="M4" s="313"/>
    </row>
    <row r="5" spans="1:13" ht="7.5" customHeight="1" x14ac:dyDescent="0.2">
      <c r="B5" s="1257" t="s">
        <v>1169</v>
      </c>
      <c r="C5" s="1257"/>
    </row>
    <row r="6" spans="1:13" ht="7.5" customHeight="1" x14ac:dyDescent="0.2">
      <c r="B6" s="1373"/>
      <c r="C6" s="1373"/>
      <c r="D6" s="1374"/>
      <c r="E6" s="1374"/>
      <c r="F6" s="1374"/>
      <c r="G6" s="1375"/>
      <c r="H6" s="1374"/>
      <c r="I6" s="1375"/>
      <c r="J6" s="1374"/>
      <c r="K6" s="1374"/>
      <c r="L6" s="1376"/>
    </row>
    <row r="7" spans="1:13" ht="12.75" customHeight="1" x14ac:dyDescent="0.2">
      <c r="A7" s="1279"/>
      <c r="B7" s="2479" t="s">
        <v>1296</v>
      </c>
      <c r="C7" s="2479"/>
      <c r="D7" s="2480"/>
      <c r="E7" s="2480"/>
      <c r="F7" s="2480"/>
      <c r="G7" s="2480"/>
      <c r="H7" s="2480"/>
      <c r="I7" s="2480"/>
      <c r="J7" s="2480"/>
      <c r="K7" s="2480"/>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1739</v>
      </c>
      <c r="C10" s="1380" t="s">
        <v>1986</v>
      </c>
      <c r="D10" s="1381">
        <v>1</v>
      </c>
      <c r="E10" s="322"/>
      <c r="F10" s="1382" t="s">
        <v>1295</v>
      </c>
      <c r="G10" s="1383"/>
      <c r="H10" s="1384" t="s">
        <v>1294</v>
      </c>
      <c r="I10" s="1383" t="s">
        <v>2070</v>
      </c>
      <c r="J10" s="1385" t="s">
        <v>1293</v>
      </c>
      <c r="K10" s="322"/>
      <c r="L10" s="1376"/>
    </row>
    <row r="11" spans="1:13" ht="13.5" customHeight="1" x14ac:dyDescent="0.2">
      <c r="B11" s="322"/>
      <c r="C11" s="322"/>
      <c r="D11" s="322"/>
      <c r="E11" s="322"/>
      <c r="F11" s="322"/>
      <c r="G11" s="1378"/>
      <c r="H11" s="322"/>
      <c r="I11" s="1386" t="s">
        <v>1292</v>
      </c>
      <c r="J11" s="322"/>
      <c r="K11" s="1387">
        <v>2018</v>
      </c>
      <c r="L11" s="1376"/>
    </row>
    <row r="12" spans="1:13" ht="13.5" customHeight="1" x14ac:dyDescent="0.2">
      <c r="B12" s="1291"/>
      <c r="C12" s="1291"/>
      <c r="D12" s="322"/>
      <c r="E12" s="322"/>
      <c r="F12" s="322"/>
      <c r="G12" s="1378"/>
      <c r="H12" s="322"/>
      <c r="I12" s="1378"/>
      <c r="J12" s="322"/>
      <c r="L12" s="1376"/>
    </row>
    <row r="13" spans="1:13" s="1279" customFormat="1" ht="13.5" customHeight="1" x14ac:dyDescent="0.2">
      <c r="B13" s="1388" t="s">
        <v>1291</v>
      </c>
      <c r="C13" s="1388"/>
      <c r="D13" s="1389"/>
      <c r="E13" s="1389"/>
      <c r="F13" s="1389"/>
      <c r="G13" s="1390"/>
      <c r="H13" s="1389"/>
      <c r="I13" s="1390"/>
      <c r="J13" s="1389"/>
      <c r="K13" s="1389"/>
      <c r="L13" s="1391"/>
    </row>
    <row r="14" spans="1:13" ht="45.75" customHeight="1" x14ac:dyDescent="0.2">
      <c r="B14" s="2477" t="s">
        <v>2132</v>
      </c>
      <c r="C14" s="2477"/>
      <c r="D14" s="2477"/>
      <c r="E14" s="2477"/>
      <c r="F14" s="2477"/>
      <c r="G14" s="2477"/>
      <c r="H14" s="2477"/>
      <c r="I14" s="2477"/>
      <c r="J14" s="2477"/>
      <c r="K14" s="2477"/>
      <c r="L14" s="1392"/>
    </row>
    <row r="15" spans="1:13" ht="4.5" customHeight="1" x14ac:dyDescent="0.2">
      <c r="B15" s="1393"/>
      <c r="C15" s="1393"/>
      <c r="D15" s="1394"/>
      <c r="E15" s="1394"/>
      <c r="F15" s="1394"/>
      <c r="H15" s="1394"/>
      <c r="J15" s="1394"/>
      <c r="K15" s="1394"/>
      <c r="L15" s="1392"/>
    </row>
    <row r="16" spans="1:13" s="1279" customFormat="1" ht="13.5" customHeight="1" x14ac:dyDescent="0.2">
      <c r="B16" s="1388" t="s">
        <v>1290</v>
      </c>
      <c r="C16" s="1388"/>
      <c r="D16" s="1389"/>
      <c r="E16" s="1389"/>
      <c r="F16" s="1389"/>
      <c r="G16" s="1390"/>
      <c r="H16" s="1389"/>
      <c r="I16" s="1390"/>
      <c r="J16" s="1389"/>
      <c r="K16" s="1389"/>
      <c r="L16" s="1391"/>
    </row>
    <row r="17" spans="2:12" ht="45.75" customHeight="1" x14ac:dyDescent="0.2">
      <c r="B17" s="2477" t="s">
        <v>2133</v>
      </c>
      <c r="C17" s="2477"/>
      <c r="D17" s="2477"/>
      <c r="E17" s="2477"/>
      <c r="F17" s="2477"/>
      <c r="G17" s="2477"/>
      <c r="H17" s="2477"/>
      <c r="I17" s="2477"/>
      <c r="J17" s="2477"/>
      <c r="K17" s="2477"/>
      <c r="L17" s="1376"/>
    </row>
    <row r="18" spans="2:12" ht="4.5" customHeight="1" x14ac:dyDescent="0.2">
      <c r="B18" s="1393"/>
      <c r="C18" s="1393"/>
      <c r="L18" s="1376"/>
    </row>
    <row r="19" spans="2:12" s="1279" customFormat="1" ht="13.5" customHeight="1" x14ac:dyDescent="0.2">
      <c r="B19" s="1388" t="s">
        <v>1740</v>
      </c>
      <c r="C19" s="1388"/>
      <c r="D19" s="1389"/>
      <c r="E19" s="1389"/>
      <c r="F19" s="1389"/>
      <c r="G19" s="1390"/>
      <c r="H19" s="1389"/>
      <c r="I19" s="1390"/>
      <c r="J19" s="1389"/>
      <c r="K19" s="1389"/>
      <c r="L19" s="1391"/>
    </row>
    <row r="20" spans="2:12" ht="45.75" customHeight="1" x14ac:dyDescent="0.2">
      <c r="B20" s="2481" t="s">
        <v>2134</v>
      </c>
      <c r="C20" s="2481"/>
      <c r="D20" s="2477"/>
      <c r="E20" s="2477"/>
      <c r="F20" s="2477"/>
      <c r="G20" s="2477"/>
      <c r="H20" s="2477"/>
      <c r="I20" s="2477"/>
      <c r="J20" s="2477"/>
      <c r="K20" s="2477"/>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77" t="s">
        <v>2135</v>
      </c>
      <c r="C23" s="2477"/>
      <c r="D23" s="2477"/>
      <c r="E23" s="2477"/>
      <c r="F23" s="2477"/>
      <c r="G23" s="2477"/>
      <c r="H23" s="2477"/>
      <c r="I23" s="2477"/>
      <c r="J23" s="2477"/>
      <c r="K23" s="2477"/>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77" t="s">
        <v>2136</v>
      </c>
      <c r="C26" s="2477"/>
      <c r="D26" s="2477"/>
      <c r="E26" s="2477"/>
      <c r="F26" s="2477"/>
      <c r="G26" s="2477"/>
      <c r="H26" s="2477"/>
      <c r="I26" s="2477"/>
      <c r="J26" s="2477"/>
      <c r="K26" s="2477"/>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76" t="s">
        <v>2137</v>
      </c>
      <c r="C29" s="2476"/>
      <c r="D29" s="2477"/>
      <c r="E29" s="2477"/>
      <c r="F29" s="2477"/>
      <c r="G29" s="2477"/>
      <c r="H29" s="2477"/>
      <c r="I29" s="2477"/>
      <c r="J29" s="2477"/>
      <c r="K29" s="2477"/>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1741</v>
      </c>
      <c r="C31" s="1398"/>
      <c r="D31" s="1373"/>
      <c r="E31" s="1374"/>
      <c r="F31" s="1374"/>
      <c r="G31" s="1375"/>
      <c r="H31" s="1374"/>
      <c r="I31" s="1375"/>
      <c r="J31" s="1374"/>
      <c r="K31" s="1374"/>
      <c r="L31" s="1376"/>
    </row>
    <row r="32" spans="2:12" s="322" customFormat="1" ht="44.25" customHeight="1" x14ac:dyDescent="0.2">
      <c r="B32" s="2476" t="s">
        <v>2138</v>
      </c>
      <c r="C32" s="2476"/>
      <c r="D32" s="2477"/>
      <c r="E32" s="2477"/>
      <c r="F32" s="2477"/>
      <c r="G32" s="2477"/>
      <c r="H32" s="2477"/>
      <c r="I32" s="2477"/>
      <c r="J32" s="2477"/>
      <c r="K32" s="2477"/>
      <c r="L32" s="1376"/>
    </row>
    <row r="33" spans="1:13" s="322" customFormat="1" ht="4.5" customHeight="1" x14ac:dyDescent="0.2">
      <c r="B33" s="1397"/>
      <c r="C33" s="1397"/>
      <c r="G33" s="1378"/>
      <c r="I33" s="1378"/>
      <c r="L33" s="1376"/>
    </row>
    <row r="34" spans="1:13" s="322" customFormat="1" x14ac:dyDescent="0.2">
      <c r="A34" s="1294"/>
      <c r="B34" s="1399"/>
      <c r="C34" s="1399"/>
      <c r="D34" s="1399"/>
      <c r="E34" s="1399"/>
      <c r="F34" s="1399"/>
      <c r="G34" s="1400"/>
      <c r="H34" s="1399"/>
      <c r="I34" s="1400"/>
      <c r="J34" s="1399"/>
      <c r="K34" s="1399"/>
      <c r="L34" s="1376"/>
    </row>
    <row r="35" spans="1:13" ht="11.85" customHeight="1" x14ac:dyDescent="0.2">
      <c r="B35" s="1401" t="s">
        <v>1742</v>
      </c>
      <c r="C35" s="1401"/>
      <c r="D35" s="322"/>
      <c r="E35" s="322"/>
      <c r="F35" s="322"/>
      <c r="L35" s="1376"/>
    </row>
    <row r="36" spans="1:13" ht="9.6" customHeight="1" x14ac:dyDescent="0.2">
      <c r="B36" s="1297" t="s">
        <v>1838</v>
      </c>
      <c r="C36" s="1297"/>
      <c r="L36" s="1376"/>
    </row>
    <row r="37" spans="1:13" ht="9.6" customHeight="1" x14ac:dyDescent="0.2">
      <c r="B37" s="1297" t="s">
        <v>1839</v>
      </c>
      <c r="C37" s="1297"/>
    </row>
    <row r="38" spans="1:13" ht="11.85" customHeight="1" x14ac:dyDescent="0.2">
      <c r="B38" s="1402" t="s">
        <v>1743</v>
      </c>
      <c r="C38" s="1402"/>
    </row>
    <row r="39" spans="1:13" ht="9.6" customHeight="1" x14ac:dyDescent="0.2">
      <c r="B39" s="1297" t="s">
        <v>1286</v>
      </c>
      <c r="C39" s="1297"/>
      <c r="M39" s="1403"/>
    </row>
    <row r="40" spans="1:13" ht="12.6" customHeight="1" x14ac:dyDescent="0.2">
      <c r="B40" s="1402" t="s">
        <v>1744</v>
      </c>
      <c r="C40" s="1402"/>
      <c r="M40" s="1403"/>
    </row>
    <row r="41" spans="1:13" ht="9.6" customHeight="1" x14ac:dyDescent="0.2">
      <c r="B41" s="1297"/>
      <c r="C41" s="1297"/>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1"/>
  <sheetViews>
    <sheetView showGridLines="0" topLeftCell="A22" zoomScale="110" zoomScaleNormal="110" workbookViewId="0">
      <selection activeCell="P30" sqref="P3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2" t="str">
        <f>'Single Audit Cover'!A7</f>
        <v>Grundy County Spec Educ Coop</v>
      </c>
      <c r="C1" s="2462"/>
      <c r="D1" s="2462"/>
      <c r="E1" s="2462"/>
      <c r="F1" s="2462"/>
      <c r="G1" s="2462"/>
      <c r="H1" s="2462"/>
      <c r="I1" s="2462"/>
      <c r="J1" s="2462"/>
      <c r="K1" s="2462"/>
      <c r="L1" s="1369"/>
      <c r="M1" s="1369"/>
    </row>
    <row r="2" spans="1:13" ht="12" customHeight="1" x14ac:dyDescent="0.2">
      <c r="B2" s="2464">
        <f>'Single Audit Cover'!E7</f>
        <v>24032101061</v>
      </c>
      <c r="C2" s="2464"/>
      <c r="D2" s="2464"/>
      <c r="E2" s="2464"/>
      <c r="F2" s="2464"/>
      <c r="G2" s="2464"/>
      <c r="H2" s="2464"/>
      <c r="I2" s="2464"/>
      <c r="J2" s="2464"/>
      <c r="K2" s="2464"/>
      <c r="L2" s="1370"/>
      <c r="M2" s="1371"/>
    </row>
    <row r="3" spans="1:13" ht="10.35" customHeight="1" x14ac:dyDescent="0.2">
      <c r="B3" s="2478" t="s">
        <v>1285</v>
      </c>
      <c r="C3" s="2478"/>
      <c r="D3" s="2478"/>
      <c r="E3" s="2478"/>
      <c r="F3" s="2478"/>
      <c r="G3" s="2478"/>
      <c r="H3" s="2478"/>
      <c r="I3" s="2478"/>
      <c r="J3" s="2478"/>
      <c r="K3" s="2478"/>
      <c r="L3" s="1935"/>
      <c r="M3" s="1935"/>
    </row>
    <row r="4" spans="1:13" ht="14.25" customHeight="1" x14ac:dyDescent="0.2">
      <c r="B4" s="2479" t="str">
        <f>'Single Audit Cover'!A4</f>
        <v>Year Ending June 30, 2019</v>
      </c>
      <c r="C4" s="2479"/>
      <c r="D4" s="2479"/>
      <c r="E4" s="2479"/>
      <c r="F4" s="2479"/>
      <c r="G4" s="2479"/>
      <c r="H4" s="2479"/>
      <c r="I4" s="2479"/>
      <c r="J4" s="2479"/>
      <c r="K4" s="2479"/>
      <c r="L4" s="313"/>
      <c r="M4" s="313"/>
    </row>
    <row r="5" spans="1:13" ht="7.5" customHeight="1" x14ac:dyDescent="0.2">
      <c r="B5" s="1257" t="s">
        <v>1169</v>
      </c>
      <c r="C5" s="1257"/>
    </row>
    <row r="6" spans="1:13" ht="7.5" customHeight="1" x14ac:dyDescent="0.2">
      <c r="B6" s="1373"/>
      <c r="C6" s="1373"/>
      <c r="D6" s="1374"/>
      <c r="E6" s="1374"/>
      <c r="F6" s="1374"/>
      <c r="G6" s="1375"/>
      <c r="H6" s="1374"/>
      <c r="I6" s="1375"/>
      <c r="J6" s="1374"/>
      <c r="K6" s="1374"/>
      <c r="L6" s="1376"/>
    </row>
    <row r="7" spans="1:13" ht="12.75" customHeight="1" x14ac:dyDescent="0.2">
      <c r="A7" s="1279"/>
      <c r="B7" s="2479" t="s">
        <v>1296</v>
      </c>
      <c r="C7" s="2479"/>
      <c r="D7" s="2480"/>
      <c r="E7" s="2480"/>
      <c r="F7" s="2480"/>
      <c r="G7" s="2480"/>
      <c r="H7" s="2480"/>
      <c r="I7" s="2480"/>
      <c r="J7" s="2480"/>
      <c r="K7" s="2480"/>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1739</v>
      </c>
      <c r="C10" s="1380" t="s">
        <v>1986</v>
      </c>
      <c r="D10" s="1381">
        <v>2</v>
      </c>
      <c r="E10" s="322"/>
      <c r="F10" s="1382" t="s">
        <v>1295</v>
      </c>
      <c r="G10" s="1383"/>
      <c r="H10" s="1384" t="s">
        <v>1294</v>
      </c>
      <c r="I10" s="1383" t="s">
        <v>2070</v>
      </c>
      <c r="J10" s="1385" t="s">
        <v>1293</v>
      </c>
      <c r="K10" s="322"/>
      <c r="L10" s="1376"/>
    </row>
    <row r="11" spans="1:13" ht="13.5" customHeight="1" x14ac:dyDescent="0.2">
      <c r="B11" s="322"/>
      <c r="C11" s="322"/>
      <c r="D11" s="322"/>
      <c r="E11" s="322"/>
      <c r="F11" s="322"/>
      <c r="G11" s="1378"/>
      <c r="H11" s="322"/>
      <c r="I11" s="1386" t="s">
        <v>1292</v>
      </c>
      <c r="J11" s="322"/>
      <c r="K11" s="1387">
        <v>2018</v>
      </c>
      <c r="L11" s="1376"/>
    </row>
    <row r="12" spans="1:13" ht="13.5" customHeight="1" x14ac:dyDescent="0.2">
      <c r="B12" s="1291"/>
      <c r="C12" s="1291"/>
      <c r="D12" s="322"/>
      <c r="E12" s="322"/>
      <c r="F12" s="322"/>
      <c r="G12" s="1378"/>
      <c r="H12" s="322"/>
      <c r="I12" s="1378"/>
      <c r="J12" s="322"/>
      <c r="L12" s="1376"/>
    </row>
    <row r="13" spans="1:13" s="1279" customFormat="1" ht="13.5" customHeight="1" x14ac:dyDescent="0.2">
      <c r="B13" s="1388" t="s">
        <v>1291</v>
      </c>
      <c r="C13" s="1388"/>
      <c r="D13" s="1389"/>
      <c r="E13" s="1389"/>
      <c r="F13" s="1389"/>
      <c r="G13" s="1390"/>
      <c r="H13" s="1389"/>
      <c r="I13" s="1390"/>
      <c r="J13" s="1389"/>
      <c r="K13" s="1389"/>
      <c r="L13" s="1391"/>
    </row>
    <row r="14" spans="1:13" ht="45.75" customHeight="1" x14ac:dyDescent="0.2">
      <c r="B14" s="2477" t="s">
        <v>2139</v>
      </c>
      <c r="C14" s="2477"/>
      <c r="D14" s="2477"/>
      <c r="E14" s="2477"/>
      <c r="F14" s="2477"/>
      <c r="G14" s="2477"/>
      <c r="H14" s="2477"/>
      <c r="I14" s="2477"/>
      <c r="J14" s="2477"/>
      <c r="K14" s="2477"/>
      <c r="L14" s="1392"/>
    </row>
    <row r="15" spans="1:13" ht="4.5" customHeight="1" x14ac:dyDescent="0.2">
      <c r="B15" s="1393"/>
      <c r="C15" s="1393"/>
      <c r="D15" s="1394"/>
      <c r="E15" s="1394"/>
      <c r="F15" s="1394"/>
      <c r="H15" s="1394"/>
      <c r="J15" s="1394"/>
      <c r="K15" s="1394"/>
      <c r="L15" s="1392"/>
    </row>
    <row r="16" spans="1:13" s="1279" customFormat="1" ht="13.5" customHeight="1" x14ac:dyDescent="0.2">
      <c r="B16" s="1388" t="s">
        <v>1290</v>
      </c>
      <c r="C16" s="1388"/>
      <c r="D16" s="1389"/>
      <c r="E16" s="1389"/>
      <c r="F16" s="1389"/>
      <c r="G16" s="1390"/>
      <c r="H16" s="1389"/>
      <c r="I16" s="1390"/>
      <c r="J16" s="1389"/>
      <c r="K16" s="1389"/>
      <c r="L16" s="1391"/>
    </row>
    <row r="17" spans="2:12" ht="45.75" customHeight="1" x14ac:dyDescent="0.2">
      <c r="B17" s="2477" t="s">
        <v>2140</v>
      </c>
      <c r="C17" s="2477"/>
      <c r="D17" s="2477"/>
      <c r="E17" s="2477"/>
      <c r="F17" s="2477"/>
      <c r="G17" s="2477"/>
      <c r="H17" s="2477"/>
      <c r="I17" s="2477"/>
      <c r="J17" s="2477"/>
      <c r="K17" s="2477"/>
      <c r="L17" s="1376"/>
    </row>
    <row r="18" spans="2:12" ht="4.5" customHeight="1" x14ac:dyDescent="0.2">
      <c r="B18" s="1393"/>
      <c r="C18" s="1393"/>
      <c r="L18" s="1376"/>
    </row>
    <row r="19" spans="2:12" s="1279" customFormat="1" ht="13.5" customHeight="1" x14ac:dyDescent="0.2">
      <c r="B19" s="1388" t="s">
        <v>1740</v>
      </c>
      <c r="C19" s="1388"/>
      <c r="D19" s="1389"/>
      <c r="E19" s="1389"/>
      <c r="F19" s="1389"/>
      <c r="G19" s="1390"/>
      <c r="H19" s="1389"/>
      <c r="I19" s="1390"/>
      <c r="J19" s="1389"/>
      <c r="K19" s="1389"/>
      <c r="L19" s="1391"/>
    </row>
    <row r="20" spans="2:12" ht="45.75" customHeight="1" x14ac:dyDescent="0.2">
      <c r="B20" s="2481" t="s">
        <v>2141</v>
      </c>
      <c r="C20" s="2481"/>
      <c r="D20" s="2477"/>
      <c r="E20" s="2477"/>
      <c r="F20" s="2477"/>
      <c r="G20" s="2477"/>
      <c r="H20" s="2477"/>
      <c r="I20" s="2477"/>
      <c r="J20" s="2477"/>
      <c r="K20" s="2477"/>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77" t="s">
        <v>2142</v>
      </c>
      <c r="C23" s="2477"/>
      <c r="D23" s="2477"/>
      <c r="E23" s="2477"/>
      <c r="F23" s="2477"/>
      <c r="G23" s="2477"/>
      <c r="H23" s="2477"/>
      <c r="I23" s="2477"/>
      <c r="J23" s="2477"/>
      <c r="K23" s="2477"/>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77" t="s">
        <v>2143</v>
      </c>
      <c r="C26" s="2477"/>
      <c r="D26" s="2477"/>
      <c r="E26" s="2477"/>
      <c r="F26" s="2477"/>
      <c r="G26" s="2477"/>
      <c r="H26" s="2477"/>
      <c r="I26" s="2477"/>
      <c r="J26" s="2477"/>
      <c r="K26" s="2477"/>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76" t="s">
        <v>2144</v>
      </c>
      <c r="C29" s="2476"/>
      <c r="D29" s="2477"/>
      <c r="E29" s="2477"/>
      <c r="F29" s="2477"/>
      <c r="G29" s="2477"/>
      <c r="H29" s="2477"/>
      <c r="I29" s="2477"/>
      <c r="J29" s="2477"/>
      <c r="K29" s="2477"/>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1741</v>
      </c>
      <c r="C31" s="1398"/>
      <c r="D31" s="1373"/>
      <c r="E31" s="1374"/>
      <c r="F31" s="1374"/>
      <c r="G31" s="1375"/>
      <c r="H31" s="1374"/>
      <c r="I31" s="1375"/>
      <c r="J31" s="1374"/>
      <c r="K31" s="1374"/>
      <c r="L31" s="1376"/>
    </row>
    <row r="32" spans="2:12" s="322" customFormat="1" ht="44.25" customHeight="1" x14ac:dyDescent="0.2">
      <c r="B32" s="2476" t="s">
        <v>2145</v>
      </c>
      <c r="C32" s="2476"/>
      <c r="D32" s="2477"/>
      <c r="E32" s="2477"/>
      <c r="F32" s="2477"/>
      <c r="G32" s="2477"/>
      <c r="H32" s="2477"/>
      <c r="I32" s="2477"/>
      <c r="J32" s="2477"/>
      <c r="K32" s="2477"/>
      <c r="L32" s="1376"/>
    </row>
    <row r="33" spans="1:13" s="322" customFormat="1" ht="4.5" customHeight="1" x14ac:dyDescent="0.2">
      <c r="B33" s="1397"/>
      <c r="C33" s="1397"/>
      <c r="G33" s="1378"/>
      <c r="I33" s="1378"/>
      <c r="L33" s="1376"/>
    </row>
    <row r="34" spans="1:13" s="322" customFormat="1" x14ac:dyDescent="0.2">
      <c r="A34" s="1294"/>
      <c r="B34" s="1399"/>
      <c r="C34" s="1399"/>
      <c r="D34" s="1399"/>
      <c r="E34" s="1399"/>
      <c r="F34" s="1399"/>
      <c r="G34" s="1400"/>
      <c r="H34" s="1399"/>
      <c r="I34" s="1400"/>
      <c r="J34" s="1399"/>
      <c r="K34" s="1399"/>
      <c r="L34" s="1376"/>
    </row>
    <row r="35" spans="1:13" ht="11.85" customHeight="1" x14ac:dyDescent="0.2">
      <c r="B35" s="1401" t="s">
        <v>1742</v>
      </c>
      <c r="C35" s="1401"/>
      <c r="D35" s="322"/>
      <c r="E35" s="322"/>
      <c r="F35" s="322"/>
      <c r="L35" s="1376"/>
    </row>
    <row r="36" spans="1:13" ht="9.6" customHeight="1" x14ac:dyDescent="0.2">
      <c r="B36" s="1297" t="s">
        <v>1838</v>
      </c>
      <c r="C36" s="1297"/>
      <c r="L36" s="1376"/>
    </row>
    <row r="37" spans="1:13" ht="9.6" customHeight="1" x14ac:dyDescent="0.2">
      <c r="B37" s="1297" t="s">
        <v>1839</v>
      </c>
      <c r="C37" s="1297"/>
    </row>
    <row r="38" spans="1:13" ht="11.85" customHeight="1" x14ac:dyDescent="0.2">
      <c r="B38" s="1402" t="s">
        <v>1743</v>
      </c>
      <c r="C38" s="1402"/>
    </row>
    <row r="39" spans="1:13" ht="9.6" customHeight="1" x14ac:dyDescent="0.2">
      <c r="B39" s="1297" t="s">
        <v>1286</v>
      </c>
      <c r="C39" s="1297"/>
      <c r="M39" s="1403"/>
    </row>
    <row r="40" spans="1:13" ht="12.6" customHeight="1" x14ac:dyDescent="0.2">
      <c r="B40" s="1402" t="s">
        <v>1744</v>
      </c>
      <c r="C40" s="1402"/>
      <c r="M40" s="1403"/>
    </row>
    <row r="41" spans="1:13" ht="9.6" customHeight="1" x14ac:dyDescent="0.2">
      <c r="B41" s="1297"/>
      <c r="C41" s="1297"/>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8"/>
  <sheetViews>
    <sheetView showGridLines="0" topLeftCell="A34" zoomScale="110" zoomScaleNormal="110" workbookViewId="0">
      <selection activeCell="B39" sqref="B3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5" t="str">
        <f>'Single Audit Cover'!A7</f>
        <v>Grundy County Spec Educ Coop</v>
      </c>
      <c r="C1" s="2485"/>
      <c r="D1" s="2485"/>
      <c r="E1" s="2485"/>
      <c r="F1" s="2485"/>
      <c r="G1" s="2485"/>
      <c r="H1" s="2485"/>
      <c r="I1" s="2485"/>
      <c r="J1" s="2485"/>
      <c r="K1" s="2485"/>
      <c r="L1" s="1447"/>
    </row>
    <row r="2" spans="1:12" ht="12.75" customHeight="1" x14ac:dyDescent="0.2">
      <c r="B2" s="2486">
        <f>'Single Audit Cover'!E7</f>
        <v>24032101061</v>
      </c>
      <c r="C2" s="2486"/>
      <c r="D2" s="2486"/>
      <c r="E2" s="2486"/>
      <c r="F2" s="2486"/>
      <c r="G2" s="2486"/>
      <c r="H2" s="2486"/>
      <c r="I2" s="2486"/>
      <c r="J2" s="2486"/>
      <c r="K2" s="2486"/>
      <c r="L2" s="1448"/>
    </row>
    <row r="3" spans="1:12" ht="12.75" customHeight="1" x14ac:dyDescent="0.2">
      <c r="B3" s="2478" t="s">
        <v>1285</v>
      </c>
      <c r="C3" s="2478"/>
      <c r="D3" s="2478"/>
      <c r="E3" s="2478"/>
      <c r="F3" s="2478"/>
      <c r="G3" s="2478"/>
      <c r="H3" s="2478"/>
      <c r="I3" s="2478"/>
      <c r="J3" s="2478"/>
      <c r="K3" s="2478"/>
      <c r="L3" s="1372"/>
    </row>
    <row r="4" spans="1:12" ht="12.75" customHeight="1" x14ac:dyDescent="0.2">
      <c r="B4" s="2478" t="str">
        <f>'Single Audit Cover'!A4</f>
        <v>Year Ending June 30, 2019</v>
      </c>
      <c r="C4" s="2478"/>
      <c r="D4" s="2478"/>
      <c r="E4" s="2478"/>
      <c r="F4" s="2478"/>
      <c r="G4" s="2478"/>
      <c r="H4" s="2478"/>
      <c r="I4" s="2478"/>
      <c r="J4" s="2478"/>
      <c r="K4" s="2478"/>
      <c r="L4" s="1372"/>
    </row>
    <row r="5" spans="1:12" ht="5.25" customHeight="1" x14ac:dyDescent="0.2">
      <c r="B5" s="1257" t="s">
        <v>1169</v>
      </c>
      <c r="C5" s="1257"/>
      <c r="L5" s="322"/>
    </row>
    <row r="6" spans="1:12" ht="30.75" customHeight="1" x14ac:dyDescent="0.2">
      <c r="A6" s="322"/>
      <c r="B6" s="2487" t="s">
        <v>1308</v>
      </c>
      <c r="C6" s="2487"/>
      <c r="D6" s="2487"/>
      <c r="E6" s="2487"/>
      <c r="F6" s="2487"/>
      <c r="G6" s="2487"/>
      <c r="H6" s="2487"/>
      <c r="I6" s="2487"/>
      <c r="J6" s="2487"/>
      <c r="K6" s="2487"/>
      <c r="L6" s="322"/>
    </row>
    <row r="7" spans="1:12" ht="4.5" customHeight="1" x14ac:dyDescent="0.2">
      <c r="B7" s="1374"/>
      <c r="C7" s="1374"/>
      <c r="D7" s="1374"/>
      <c r="E7" s="1374"/>
      <c r="F7" s="1374"/>
      <c r="G7" s="1375"/>
      <c r="H7" s="1374"/>
      <c r="I7" s="1375"/>
      <c r="J7" s="1374"/>
      <c r="K7" s="1374"/>
      <c r="L7" s="322"/>
    </row>
    <row r="8" spans="1:12" ht="13.5" customHeight="1" x14ac:dyDescent="0.2">
      <c r="B8" s="1382" t="s">
        <v>1753</v>
      </c>
      <c r="C8" s="1449" t="s">
        <v>1986</v>
      </c>
      <c r="D8" s="1450">
        <v>3</v>
      </c>
      <c r="E8" s="322"/>
      <c r="F8" s="1379" t="s">
        <v>1295</v>
      </c>
      <c r="G8" s="1451" t="s">
        <v>2070</v>
      </c>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69" t="s">
        <v>2146</v>
      </c>
      <c r="G12" s="2469"/>
      <c r="H12" s="2469"/>
      <c r="I12" s="2469"/>
      <c r="J12" s="2469"/>
      <c r="K12" s="2469"/>
      <c r="L12" s="322"/>
    </row>
    <row r="13" spans="1:12" ht="9.6" customHeight="1" x14ac:dyDescent="0.2">
      <c r="B13" s="1254"/>
      <c r="C13" s="1254"/>
      <c r="D13" s="304"/>
      <c r="E13" s="322"/>
      <c r="F13" s="322"/>
      <c r="G13" s="1378"/>
      <c r="H13" s="322"/>
      <c r="I13" s="1378"/>
      <c r="J13" s="322"/>
      <c r="K13" s="1414"/>
      <c r="L13" s="322"/>
    </row>
    <row r="14" spans="1:12" ht="13.5" customHeight="1" x14ac:dyDescent="0.2">
      <c r="B14" s="1382" t="s">
        <v>1304</v>
      </c>
      <c r="C14" s="1382"/>
      <c r="D14" s="2482" t="s">
        <v>2147</v>
      </c>
      <c r="E14" s="2482"/>
      <c r="F14" s="2482"/>
      <c r="H14" s="1457" t="s">
        <v>1303</v>
      </c>
      <c r="I14" s="2483">
        <v>84.027000000000001</v>
      </c>
      <c r="J14" s="2483"/>
      <c r="K14" s="2483"/>
      <c r="L14" s="322"/>
    </row>
    <row r="15" spans="1:12" ht="9.4" customHeight="1" x14ac:dyDescent="0.2">
      <c r="B15" s="1382"/>
      <c r="C15" s="1382"/>
      <c r="D15" s="1368"/>
      <c r="E15" s="1257"/>
      <c r="F15" s="1257"/>
      <c r="G15" s="1283"/>
      <c r="H15" s="1257"/>
      <c r="I15" s="1458"/>
      <c r="J15" s="1291"/>
      <c r="K15" s="1288"/>
      <c r="L15" s="322"/>
    </row>
    <row r="16" spans="1:12" ht="13.5" customHeight="1" x14ac:dyDescent="0.2">
      <c r="B16" s="1382" t="s">
        <v>1302</v>
      </c>
      <c r="C16" s="1382"/>
      <c r="D16" s="2483" t="s">
        <v>2148</v>
      </c>
      <c r="E16" s="2483"/>
      <c r="F16" s="2483"/>
      <c r="G16" s="2483"/>
      <c r="H16" s="2483"/>
      <c r="I16" s="2483"/>
      <c r="J16" s="2483"/>
      <c r="K16" s="2483"/>
      <c r="L16" s="322"/>
    </row>
    <row r="17" spans="2:12" ht="13.5" customHeight="1" x14ac:dyDescent="0.2">
      <c r="B17" s="1382" t="s">
        <v>1301</v>
      </c>
      <c r="C17" s="1382"/>
      <c r="D17" s="2484" t="s">
        <v>2149</v>
      </c>
      <c r="E17" s="2484"/>
      <c r="F17" s="2484"/>
      <c r="G17" s="2484"/>
      <c r="H17" s="2484"/>
      <c r="I17" s="2484"/>
      <c r="J17" s="2484"/>
      <c r="K17" s="2484"/>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35.25" customHeight="1" x14ac:dyDescent="0.2">
      <c r="B20" s="2477" t="s">
        <v>2150</v>
      </c>
      <c r="C20" s="2477"/>
      <c r="D20" s="2477"/>
      <c r="E20" s="2477"/>
      <c r="F20" s="2477"/>
      <c r="G20" s="2477"/>
      <c r="H20" s="2477"/>
      <c r="I20" s="2477"/>
      <c r="J20" s="2477"/>
      <c r="K20" s="2477"/>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1754</v>
      </c>
      <c r="C22" s="1459"/>
      <c r="D22" s="322"/>
      <c r="E22" s="322"/>
      <c r="F22" s="322"/>
      <c r="G22" s="1378"/>
      <c r="H22" s="322"/>
      <c r="I22" s="1378"/>
      <c r="J22" s="322"/>
      <c r="K22" s="322"/>
      <c r="L22" s="322"/>
    </row>
    <row r="23" spans="2:12" ht="37.5" customHeight="1" x14ac:dyDescent="0.2">
      <c r="B23" s="2477" t="s">
        <v>2151</v>
      </c>
      <c r="C23" s="2477"/>
      <c r="D23" s="2477"/>
      <c r="E23" s="2477"/>
      <c r="F23" s="2477"/>
      <c r="G23" s="2477"/>
      <c r="H23" s="2477"/>
      <c r="I23" s="2477"/>
      <c r="J23" s="2477"/>
      <c r="K23" s="2477"/>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1755</v>
      </c>
      <c r="C25" s="1459"/>
      <c r="D25" s="322"/>
      <c r="E25" s="322"/>
      <c r="F25" s="322"/>
      <c r="G25" s="1378"/>
      <c r="H25" s="322"/>
      <c r="I25" s="1378"/>
      <c r="J25" s="322"/>
      <c r="K25" s="322"/>
      <c r="L25" s="322"/>
    </row>
    <row r="26" spans="2:12" ht="37.5" customHeight="1" x14ac:dyDescent="0.2">
      <c r="B26" s="2477" t="s">
        <v>2152</v>
      </c>
      <c r="C26" s="2477"/>
      <c r="D26" s="2477"/>
      <c r="E26" s="2477"/>
      <c r="F26" s="2477"/>
      <c r="G26" s="2477"/>
      <c r="H26" s="2477"/>
      <c r="I26" s="2477"/>
      <c r="J26" s="2477"/>
      <c r="K26" s="2477"/>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1756</v>
      </c>
      <c r="C28" s="1459"/>
      <c r="D28" s="322"/>
      <c r="E28" s="322"/>
      <c r="F28" s="322"/>
      <c r="G28" s="1378"/>
      <c r="H28" s="322"/>
      <c r="I28" s="1378"/>
      <c r="J28" s="322"/>
      <c r="K28" s="322"/>
      <c r="L28" s="322"/>
    </row>
    <row r="29" spans="2:12" ht="37.5" customHeight="1" x14ac:dyDescent="0.2">
      <c r="B29" s="2477" t="s">
        <v>2153</v>
      </c>
      <c r="C29" s="2477"/>
      <c r="D29" s="2477"/>
      <c r="E29" s="2477"/>
      <c r="F29" s="2477"/>
      <c r="G29" s="2477"/>
      <c r="H29" s="2477"/>
      <c r="I29" s="2477"/>
      <c r="J29" s="2477"/>
      <c r="K29" s="2477"/>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37.5" customHeight="1" x14ac:dyDescent="0.2">
      <c r="B32" s="2477" t="s">
        <v>2154</v>
      </c>
      <c r="C32" s="2477"/>
      <c r="D32" s="2477"/>
      <c r="E32" s="2477"/>
      <c r="F32" s="2477"/>
      <c r="G32" s="2477"/>
      <c r="H32" s="2477"/>
      <c r="I32" s="2477"/>
      <c r="J32" s="2477"/>
      <c r="K32" s="2477"/>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37.5" customHeight="1" x14ac:dyDescent="0.2">
      <c r="B35" s="2477" t="s">
        <v>2155</v>
      </c>
      <c r="C35" s="2477"/>
      <c r="D35" s="2477"/>
      <c r="E35" s="2477"/>
      <c r="F35" s="2477"/>
      <c r="G35" s="2477"/>
      <c r="H35" s="2477"/>
      <c r="I35" s="2477"/>
      <c r="J35" s="2477"/>
      <c r="K35" s="2477"/>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35.25" customHeight="1" x14ac:dyDescent="0.2">
      <c r="B38" s="2477" t="s">
        <v>2182</v>
      </c>
      <c r="C38" s="2477"/>
      <c r="D38" s="2477"/>
      <c r="E38" s="2477"/>
      <c r="F38" s="2477"/>
      <c r="G38" s="2477"/>
      <c r="H38" s="2477"/>
      <c r="I38" s="2477"/>
      <c r="J38" s="2477"/>
      <c r="K38" s="2477"/>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1757</v>
      </c>
      <c r="C40" s="1398"/>
      <c r="D40" s="1373"/>
      <c r="E40" s="1374"/>
      <c r="F40" s="1374"/>
      <c r="G40" s="1375"/>
      <c r="H40" s="1374"/>
      <c r="I40" s="1375"/>
      <c r="J40" s="1374"/>
      <c r="K40" s="1374"/>
    </row>
    <row r="41" spans="2:12" s="322" customFormat="1" ht="33.75" customHeight="1" x14ac:dyDescent="0.2">
      <c r="B41" s="2477" t="s">
        <v>2156</v>
      </c>
      <c r="C41" s="2477"/>
      <c r="D41" s="2477"/>
      <c r="E41" s="2477"/>
      <c r="F41" s="2477"/>
      <c r="G41" s="2477"/>
      <c r="H41" s="2477"/>
      <c r="I41" s="2477"/>
      <c r="J41" s="2477"/>
      <c r="K41" s="2477"/>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1758</v>
      </c>
      <c r="C44" s="1401"/>
      <c r="D44" s="322"/>
      <c r="E44" s="322"/>
      <c r="F44" s="322"/>
    </row>
    <row r="45" spans="2:12" ht="10.5" customHeight="1" x14ac:dyDescent="0.2">
      <c r="B45" s="1402" t="s">
        <v>1759</v>
      </c>
      <c r="C45" s="1402"/>
      <c r="G45" s="317"/>
      <c r="I45" s="317"/>
    </row>
    <row r="46" spans="2:12" ht="11.1" customHeight="1" x14ac:dyDescent="0.2">
      <c r="B46" s="1402" t="s">
        <v>1760</v>
      </c>
      <c r="C46" s="1402"/>
      <c r="G46" s="317"/>
      <c r="I46" s="317"/>
    </row>
    <row r="47" spans="2:12" ht="11.1" customHeight="1" x14ac:dyDescent="0.2">
      <c r="B47" s="1402" t="s">
        <v>1761</v>
      </c>
      <c r="C47" s="1402"/>
      <c r="G47" s="317"/>
      <c r="I47" s="317"/>
    </row>
    <row r="48" spans="2:12" ht="11.1" customHeight="1" x14ac:dyDescent="0.2">
      <c r="B48" s="1402" t="s">
        <v>1762</v>
      </c>
      <c r="C48" s="1402"/>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8"/>
  <sheetViews>
    <sheetView showGridLines="0" topLeftCell="A31" zoomScale="110" zoomScaleNormal="110" workbookViewId="0">
      <selection activeCell="B41" sqref="B41:K4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5" t="str">
        <f>'Single Audit Cover'!A7</f>
        <v>Grundy County Spec Educ Coop</v>
      </c>
      <c r="C1" s="2485"/>
      <c r="D1" s="2485"/>
      <c r="E1" s="2485"/>
      <c r="F1" s="2485"/>
      <c r="G1" s="2485"/>
      <c r="H1" s="2485"/>
      <c r="I1" s="2485"/>
      <c r="J1" s="2485"/>
      <c r="K1" s="2485"/>
      <c r="L1" s="1447"/>
    </row>
    <row r="2" spans="1:12" ht="12.75" customHeight="1" x14ac:dyDescent="0.2">
      <c r="B2" s="2486">
        <f>'Single Audit Cover'!E7</f>
        <v>24032101061</v>
      </c>
      <c r="C2" s="2486"/>
      <c r="D2" s="2486"/>
      <c r="E2" s="2486"/>
      <c r="F2" s="2486"/>
      <c r="G2" s="2486"/>
      <c r="H2" s="2486"/>
      <c r="I2" s="2486"/>
      <c r="J2" s="2486"/>
      <c r="K2" s="2486"/>
      <c r="L2" s="1448"/>
    </row>
    <row r="3" spans="1:12" ht="12.75" customHeight="1" x14ac:dyDescent="0.2">
      <c r="B3" s="2478" t="s">
        <v>1285</v>
      </c>
      <c r="C3" s="2478"/>
      <c r="D3" s="2478"/>
      <c r="E3" s="2478"/>
      <c r="F3" s="2478"/>
      <c r="G3" s="2478"/>
      <c r="H3" s="2478"/>
      <c r="I3" s="2478"/>
      <c r="J3" s="2478"/>
      <c r="K3" s="2478"/>
      <c r="L3" s="1935"/>
    </row>
    <row r="4" spans="1:12" ht="12.75" customHeight="1" x14ac:dyDescent="0.2">
      <c r="B4" s="2478" t="str">
        <f>'Single Audit Cover'!A4</f>
        <v>Year Ending June 30, 2019</v>
      </c>
      <c r="C4" s="2478"/>
      <c r="D4" s="2478"/>
      <c r="E4" s="2478"/>
      <c r="F4" s="2478"/>
      <c r="G4" s="2478"/>
      <c r="H4" s="2478"/>
      <c r="I4" s="2478"/>
      <c r="J4" s="2478"/>
      <c r="K4" s="2478"/>
      <c r="L4" s="1935"/>
    </row>
    <row r="5" spans="1:12" ht="5.25" customHeight="1" x14ac:dyDescent="0.2">
      <c r="B5" s="1257" t="s">
        <v>1169</v>
      </c>
      <c r="C5" s="1257"/>
      <c r="L5" s="322"/>
    </row>
    <row r="6" spans="1:12" ht="30.75" customHeight="1" x14ac:dyDescent="0.2">
      <c r="A6" s="322"/>
      <c r="B6" s="2487" t="s">
        <v>1308</v>
      </c>
      <c r="C6" s="2487"/>
      <c r="D6" s="2487"/>
      <c r="E6" s="2487"/>
      <c r="F6" s="2487"/>
      <c r="G6" s="2487"/>
      <c r="H6" s="2487"/>
      <c r="I6" s="2487"/>
      <c r="J6" s="2487"/>
      <c r="K6" s="2487"/>
      <c r="L6" s="322"/>
    </row>
    <row r="7" spans="1:12" ht="4.5" customHeight="1" x14ac:dyDescent="0.2">
      <c r="B7" s="1374"/>
      <c r="C7" s="1374"/>
      <c r="D7" s="1374"/>
      <c r="E7" s="1374"/>
      <c r="F7" s="1374"/>
      <c r="G7" s="1375"/>
      <c r="H7" s="1374"/>
      <c r="I7" s="1375"/>
      <c r="J7" s="1374"/>
      <c r="K7" s="1374"/>
      <c r="L7" s="322"/>
    </row>
    <row r="8" spans="1:12" ht="13.5" customHeight="1" x14ac:dyDescent="0.2">
      <c r="B8" s="1382" t="s">
        <v>1753</v>
      </c>
      <c r="C8" s="1449" t="s">
        <v>1986</v>
      </c>
      <c r="D8" s="1450">
        <v>4</v>
      </c>
      <c r="E8" s="322"/>
      <c r="F8" s="1379" t="s">
        <v>1295</v>
      </c>
      <c r="G8" s="1451" t="s">
        <v>2070</v>
      </c>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69" t="s">
        <v>2146</v>
      </c>
      <c r="G12" s="2469"/>
      <c r="H12" s="2469"/>
      <c r="I12" s="2469"/>
      <c r="J12" s="2469"/>
      <c r="K12" s="2469"/>
      <c r="L12" s="322"/>
    </row>
    <row r="13" spans="1:12" ht="9.6" customHeight="1" x14ac:dyDescent="0.2">
      <c r="B13" s="1254"/>
      <c r="C13" s="1254"/>
      <c r="D13" s="304"/>
      <c r="E13" s="322"/>
      <c r="F13" s="322"/>
      <c r="G13" s="1378"/>
      <c r="H13" s="322"/>
      <c r="I13" s="1378"/>
      <c r="J13" s="322"/>
      <c r="K13" s="1414"/>
      <c r="L13" s="322"/>
    </row>
    <row r="14" spans="1:12" ht="13.5" customHeight="1" x14ac:dyDescent="0.2">
      <c r="B14" s="1382" t="s">
        <v>1304</v>
      </c>
      <c r="C14" s="1382"/>
      <c r="D14" s="2482" t="s">
        <v>2147</v>
      </c>
      <c r="E14" s="2482"/>
      <c r="F14" s="2482"/>
      <c r="H14" s="1457" t="s">
        <v>1303</v>
      </c>
      <c r="I14" s="2483">
        <v>84.027000000000001</v>
      </c>
      <c r="J14" s="2483"/>
      <c r="K14" s="2483"/>
      <c r="L14" s="322"/>
    </row>
    <row r="15" spans="1:12" ht="9.4" customHeight="1" x14ac:dyDescent="0.2">
      <c r="B15" s="1382"/>
      <c r="C15" s="1382"/>
      <c r="D15" s="1368"/>
      <c r="E15" s="1257"/>
      <c r="F15" s="1257"/>
      <c r="G15" s="1283"/>
      <c r="H15" s="1257"/>
      <c r="I15" s="1458"/>
      <c r="J15" s="1291"/>
      <c r="K15" s="1288"/>
      <c r="L15" s="322"/>
    </row>
    <row r="16" spans="1:12" ht="13.5" customHeight="1" x14ac:dyDescent="0.2">
      <c r="B16" s="1382" t="s">
        <v>1302</v>
      </c>
      <c r="C16" s="1382"/>
      <c r="D16" s="2483" t="s">
        <v>2148</v>
      </c>
      <c r="E16" s="2483"/>
      <c r="F16" s="2483"/>
      <c r="G16" s="2483"/>
      <c r="H16" s="2483"/>
      <c r="I16" s="2483"/>
      <c r="J16" s="2483"/>
      <c r="K16" s="2483"/>
      <c r="L16" s="322"/>
    </row>
    <row r="17" spans="2:12" ht="13.5" customHeight="1" x14ac:dyDescent="0.2">
      <c r="B17" s="1382" t="s">
        <v>1301</v>
      </c>
      <c r="C17" s="1382"/>
      <c r="D17" s="2484" t="s">
        <v>2157</v>
      </c>
      <c r="E17" s="2484"/>
      <c r="F17" s="2484"/>
      <c r="G17" s="2484"/>
      <c r="H17" s="2484"/>
      <c r="I17" s="2484"/>
      <c r="J17" s="2484"/>
      <c r="K17" s="2484"/>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35.25" customHeight="1" x14ac:dyDescent="0.2">
      <c r="B20" s="2477" t="s">
        <v>2158</v>
      </c>
      <c r="C20" s="2477"/>
      <c r="D20" s="2477"/>
      <c r="E20" s="2477"/>
      <c r="F20" s="2477"/>
      <c r="G20" s="2477"/>
      <c r="H20" s="2477"/>
      <c r="I20" s="2477"/>
      <c r="J20" s="2477"/>
      <c r="K20" s="2477"/>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1754</v>
      </c>
      <c r="C22" s="1459"/>
      <c r="D22" s="322"/>
      <c r="E22" s="322"/>
      <c r="F22" s="322"/>
      <c r="G22" s="1378"/>
      <c r="H22" s="322"/>
      <c r="I22" s="1378"/>
      <c r="J22" s="322"/>
      <c r="K22" s="322"/>
      <c r="L22" s="322"/>
    </row>
    <row r="23" spans="2:12" ht="37.5" customHeight="1" x14ac:dyDescent="0.2">
      <c r="B23" s="2477" t="s">
        <v>2159</v>
      </c>
      <c r="C23" s="2477"/>
      <c r="D23" s="2477"/>
      <c r="E23" s="2477"/>
      <c r="F23" s="2477"/>
      <c r="G23" s="2477"/>
      <c r="H23" s="2477"/>
      <c r="I23" s="2477"/>
      <c r="J23" s="2477"/>
      <c r="K23" s="2477"/>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1755</v>
      </c>
      <c r="C25" s="1459"/>
      <c r="D25" s="322"/>
      <c r="E25" s="322"/>
      <c r="F25" s="322"/>
      <c r="G25" s="1378"/>
      <c r="H25" s="322"/>
      <c r="I25" s="1378"/>
      <c r="J25" s="322"/>
      <c r="K25" s="322"/>
      <c r="L25" s="322"/>
    </row>
    <row r="26" spans="2:12" ht="37.5" customHeight="1" x14ac:dyDescent="0.2">
      <c r="B26" s="2477" t="s">
        <v>2152</v>
      </c>
      <c r="C26" s="2477"/>
      <c r="D26" s="2477"/>
      <c r="E26" s="2477"/>
      <c r="F26" s="2477"/>
      <c r="G26" s="2477"/>
      <c r="H26" s="2477"/>
      <c r="I26" s="2477"/>
      <c r="J26" s="2477"/>
      <c r="K26" s="2477"/>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1756</v>
      </c>
      <c r="C28" s="1459"/>
      <c r="D28" s="322"/>
      <c r="E28" s="322"/>
      <c r="F28" s="322"/>
      <c r="G28" s="1378"/>
      <c r="H28" s="322"/>
      <c r="I28" s="1378"/>
      <c r="J28" s="322"/>
      <c r="K28" s="322"/>
      <c r="L28" s="322"/>
    </row>
    <row r="29" spans="2:12" ht="37.5" customHeight="1" x14ac:dyDescent="0.2">
      <c r="B29" s="2477" t="s">
        <v>2160</v>
      </c>
      <c r="C29" s="2477"/>
      <c r="D29" s="2477"/>
      <c r="E29" s="2477"/>
      <c r="F29" s="2477"/>
      <c r="G29" s="2477"/>
      <c r="H29" s="2477"/>
      <c r="I29" s="2477"/>
      <c r="J29" s="2477"/>
      <c r="K29" s="2477"/>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37.5" customHeight="1" x14ac:dyDescent="0.2">
      <c r="B32" s="2477" t="s">
        <v>2161</v>
      </c>
      <c r="C32" s="2477"/>
      <c r="D32" s="2477"/>
      <c r="E32" s="2477"/>
      <c r="F32" s="2477"/>
      <c r="G32" s="2477"/>
      <c r="H32" s="2477"/>
      <c r="I32" s="2477"/>
      <c r="J32" s="2477"/>
      <c r="K32" s="2477"/>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37.5" customHeight="1" x14ac:dyDescent="0.2">
      <c r="B35" s="2477" t="s">
        <v>2162</v>
      </c>
      <c r="C35" s="2477"/>
      <c r="D35" s="2477"/>
      <c r="E35" s="2477"/>
      <c r="F35" s="2477"/>
      <c r="G35" s="2477"/>
      <c r="H35" s="2477"/>
      <c r="I35" s="2477"/>
      <c r="J35" s="2477"/>
      <c r="K35" s="2477"/>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35.25" customHeight="1" x14ac:dyDescent="0.2">
      <c r="B38" s="2477" t="s">
        <v>2163</v>
      </c>
      <c r="C38" s="2477"/>
      <c r="D38" s="2477"/>
      <c r="E38" s="2477"/>
      <c r="F38" s="2477"/>
      <c r="G38" s="2477"/>
      <c r="H38" s="2477"/>
      <c r="I38" s="2477"/>
      <c r="J38" s="2477"/>
      <c r="K38" s="2477"/>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1757</v>
      </c>
      <c r="C40" s="1398"/>
      <c r="D40" s="1373"/>
      <c r="E40" s="1374"/>
      <c r="F40" s="1374"/>
      <c r="G40" s="1375"/>
      <c r="H40" s="1374"/>
      <c r="I40" s="1375"/>
      <c r="J40" s="1374"/>
      <c r="K40" s="1374"/>
    </row>
    <row r="41" spans="2:12" s="322" customFormat="1" ht="33.75" customHeight="1" x14ac:dyDescent="0.2">
      <c r="B41" s="2477" t="s">
        <v>2164</v>
      </c>
      <c r="C41" s="2477"/>
      <c r="D41" s="2477"/>
      <c r="E41" s="2477"/>
      <c r="F41" s="2477"/>
      <c r="G41" s="2477"/>
      <c r="H41" s="2477"/>
      <c r="I41" s="2477"/>
      <c r="J41" s="2477"/>
      <c r="K41" s="2477"/>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1758</v>
      </c>
      <c r="C44" s="1401"/>
      <c r="D44" s="322"/>
      <c r="E44" s="322"/>
      <c r="F44" s="322"/>
    </row>
    <row r="45" spans="2:12" ht="10.5" customHeight="1" x14ac:dyDescent="0.2">
      <c r="B45" s="1402" t="s">
        <v>1759</v>
      </c>
      <c r="C45" s="1402"/>
      <c r="G45" s="317"/>
      <c r="I45" s="317"/>
    </row>
    <row r="46" spans="2:12" ht="11.1" customHeight="1" x14ac:dyDescent="0.2">
      <c r="B46" s="1402" t="s">
        <v>1760</v>
      </c>
      <c r="C46" s="1402"/>
      <c r="G46" s="317"/>
      <c r="I46" s="317"/>
    </row>
    <row r="47" spans="2:12" ht="11.1" customHeight="1" x14ac:dyDescent="0.2">
      <c r="B47" s="1402" t="s">
        <v>1761</v>
      </c>
      <c r="C47" s="1402"/>
      <c r="G47" s="317"/>
      <c r="I47" s="317"/>
    </row>
    <row r="48" spans="2:12" ht="11.1" customHeight="1" x14ac:dyDescent="0.2">
      <c r="B48" s="1402" t="s">
        <v>1762</v>
      </c>
      <c r="C48" s="1402"/>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8"/>
  <sheetViews>
    <sheetView showGridLines="0" topLeftCell="A34" zoomScale="110" zoomScaleNormal="110" workbookViewId="0">
      <selection activeCell="Q42" sqref="Q4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5" t="str">
        <f>'Single Audit Cover'!A7</f>
        <v>Grundy County Spec Educ Coop</v>
      </c>
      <c r="C1" s="2485"/>
      <c r="D1" s="2485"/>
      <c r="E1" s="2485"/>
      <c r="F1" s="2485"/>
      <c r="G1" s="2485"/>
      <c r="H1" s="2485"/>
      <c r="I1" s="2485"/>
      <c r="J1" s="2485"/>
      <c r="K1" s="2485"/>
      <c r="L1" s="1447"/>
    </row>
    <row r="2" spans="1:12" ht="12.75" customHeight="1" x14ac:dyDescent="0.2">
      <c r="B2" s="2486">
        <f>'Single Audit Cover'!E7</f>
        <v>24032101061</v>
      </c>
      <c r="C2" s="2486"/>
      <c r="D2" s="2486"/>
      <c r="E2" s="2486"/>
      <c r="F2" s="2486"/>
      <c r="G2" s="2486"/>
      <c r="H2" s="2486"/>
      <c r="I2" s="2486"/>
      <c r="J2" s="2486"/>
      <c r="K2" s="2486"/>
      <c r="L2" s="1448"/>
    </row>
    <row r="3" spans="1:12" ht="12.75" customHeight="1" x14ac:dyDescent="0.2">
      <c r="B3" s="2478" t="s">
        <v>1285</v>
      </c>
      <c r="C3" s="2478"/>
      <c r="D3" s="2478"/>
      <c r="E3" s="2478"/>
      <c r="F3" s="2478"/>
      <c r="G3" s="2478"/>
      <c r="H3" s="2478"/>
      <c r="I3" s="2478"/>
      <c r="J3" s="2478"/>
      <c r="K3" s="2478"/>
      <c r="L3" s="1935"/>
    </row>
    <row r="4" spans="1:12" ht="12.75" customHeight="1" x14ac:dyDescent="0.2">
      <c r="B4" s="2478" t="str">
        <f>'Single Audit Cover'!A4</f>
        <v>Year Ending June 30, 2019</v>
      </c>
      <c r="C4" s="2478"/>
      <c r="D4" s="2478"/>
      <c r="E4" s="2478"/>
      <c r="F4" s="2478"/>
      <c r="G4" s="2478"/>
      <c r="H4" s="2478"/>
      <c r="I4" s="2478"/>
      <c r="J4" s="2478"/>
      <c r="K4" s="2478"/>
      <c r="L4" s="1935"/>
    </row>
    <row r="5" spans="1:12" ht="5.25" customHeight="1" x14ac:dyDescent="0.2">
      <c r="B5" s="1257" t="s">
        <v>1169</v>
      </c>
      <c r="C5" s="1257"/>
      <c r="L5" s="322"/>
    </row>
    <row r="6" spans="1:12" ht="30.75" customHeight="1" x14ac:dyDescent="0.2">
      <c r="A6" s="322"/>
      <c r="B6" s="2487" t="s">
        <v>1308</v>
      </c>
      <c r="C6" s="2487"/>
      <c r="D6" s="2487"/>
      <c r="E6" s="2487"/>
      <c r="F6" s="2487"/>
      <c r="G6" s="2487"/>
      <c r="H6" s="2487"/>
      <c r="I6" s="2487"/>
      <c r="J6" s="2487"/>
      <c r="K6" s="2487"/>
      <c r="L6" s="322"/>
    </row>
    <row r="7" spans="1:12" ht="4.5" customHeight="1" x14ac:dyDescent="0.2">
      <c r="B7" s="1374"/>
      <c r="C7" s="1374"/>
      <c r="D7" s="1374"/>
      <c r="E7" s="1374"/>
      <c r="F7" s="1374"/>
      <c r="G7" s="1375"/>
      <c r="H7" s="1374"/>
      <c r="I7" s="1375"/>
      <c r="J7" s="1374"/>
      <c r="K7" s="1374"/>
      <c r="L7" s="322"/>
    </row>
    <row r="8" spans="1:12" ht="13.5" customHeight="1" x14ac:dyDescent="0.2">
      <c r="B8" s="1382" t="s">
        <v>1753</v>
      </c>
      <c r="C8" s="1449" t="s">
        <v>1986</v>
      </c>
      <c r="D8" s="1450">
        <v>5</v>
      </c>
      <c r="E8" s="322"/>
      <c r="F8" s="1379" t="s">
        <v>1295</v>
      </c>
      <c r="G8" s="1451" t="s">
        <v>2070</v>
      </c>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69" t="s">
        <v>2146</v>
      </c>
      <c r="G12" s="2469"/>
      <c r="H12" s="2469"/>
      <c r="I12" s="2469"/>
      <c r="J12" s="2469"/>
      <c r="K12" s="2469"/>
      <c r="L12" s="322"/>
    </row>
    <row r="13" spans="1:12" ht="9.6" customHeight="1" x14ac:dyDescent="0.2">
      <c r="B13" s="1254"/>
      <c r="C13" s="1254"/>
      <c r="D13" s="304"/>
      <c r="E13" s="322"/>
      <c r="F13" s="322"/>
      <c r="G13" s="1378"/>
      <c r="H13" s="322"/>
      <c r="I13" s="1378"/>
      <c r="J13" s="322"/>
      <c r="K13" s="1414"/>
      <c r="L13" s="322"/>
    </row>
    <row r="14" spans="1:12" ht="13.5" customHeight="1" x14ac:dyDescent="0.2">
      <c r="B14" s="1382" t="s">
        <v>1304</v>
      </c>
      <c r="C14" s="1382"/>
      <c r="D14" s="2482" t="s">
        <v>2147</v>
      </c>
      <c r="E14" s="2482"/>
      <c r="F14" s="2482"/>
      <c r="H14" s="1457" t="s">
        <v>1303</v>
      </c>
      <c r="I14" s="2483">
        <v>84.027000000000001</v>
      </c>
      <c r="J14" s="2483"/>
      <c r="K14" s="2483"/>
      <c r="L14" s="322"/>
    </row>
    <row r="15" spans="1:12" ht="9.4" customHeight="1" x14ac:dyDescent="0.2">
      <c r="B15" s="1382"/>
      <c r="C15" s="1382"/>
      <c r="D15" s="1368"/>
      <c r="E15" s="1257"/>
      <c r="F15" s="1257"/>
      <c r="G15" s="1283"/>
      <c r="H15" s="1257"/>
      <c r="I15" s="1458"/>
      <c r="J15" s="1291"/>
      <c r="K15" s="1288"/>
      <c r="L15" s="322"/>
    </row>
    <row r="16" spans="1:12" ht="13.5" customHeight="1" x14ac:dyDescent="0.2">
      <c r="B16" s="1382" t="s">
        <v>1302</v>
      </c>
      <c r="C16" s="1382"/>
      <c r="D16" s="2483" t="s">
        <v>2148</v>
      </c>
      <c r="E16" s="2483"/>
      <c r="F16" s="2483"/>
      <c r="G16" s="2483"/>
      <c r="H16" s="2483"/>
      <c r="I16" s="2483"/>
      <c r="J16" s="2483"/>
      <c r="K16" s="2483"/>
      <c r="L16" s="322"/>
    </row>
    <row r="17" spans="2:12" ht="13.5" customHeight="1" x14ac:dyDescent="0.2">
      <c r="B17" s="1382" t="s">
        <v>1301</v>
      </c>
      <c r="C17" s="1382"/>
      <c r="D17" s="2484" t="s">
        <v>2157</v>
      </c>
      <c r="E17" s="2484"/>
      <c r="F17" s="2484"/>
      <c r="G17" s="2484"/>
      <c r="H17" s="2484"/>
      <c r="I17" s="2484"/>
      <c r="J17" s="2484"/>
      <c r="K17" s="2484"/>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35.25" customHeight="1" x14ac:dyDescent="0.2">
      <c r="B20" s="2477" t="s">
        <v>2165</v>
      </c>
      <c r="C20" s="2477"/>
      <c r="D20" s="2477"/>
      <c r="E20" s="2477"/>
      <c r="F20" s="2477"/>
      <c r="G20" s="2477"/>
      <c r="H20" s="2477"/>
      <c r="I20" s="2477"/>
      <c r="J20" s="2477"/>
      <c r="K20" s="2477"/>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1754</v>
      </c>
      <c r="C22" s="1459"/>
      <c r="D22" s="322"/>
      <c r="E22" s="322"/>
      <c r="F22" s="322"/>
      <c r="G22" s="1378"/>
      <c r="H22" s="322"/>
      <c r="I22" s="1378"/>
      <c r="J22" s="322"/>
      <c r="K22" s="322"/>
      <c r="L22" s="322"/>
    </row>
    <row r="23" spans="2:12" ht="37.5" customHeight="1" x14ac:dyDescent="0.2">
      <c r="B23" s="2477" t="s">
        <v>2166</v>
      </c>
      <c r="C23" s="2477"/>
      <c r="D23" s="2477"/>
      <c r="E23" s="2477"/>
      <c r="F23" s="2477"/>
      <c r="G23" s="2477"/>
      <c r="H23" s="2477"/>
      <c r="I23" s="2477"/>
      <c r="J23" s="2477"/>
      <c r="K23" s="2477"/>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1755</v>
      </c>
      <c r="C25" s="1459"/>
      <c r="D25" s="322"/>
      <c r="E25" s="322"/>
      <c r="F25" s="322"/>
      <c r="G25" s="1378"/>
      <c r="H25" s="322"/>
      <c r="I25" s="1378"/>
      <c r="J25" s="322"/>
      <c r="K25" s="322"/>
      <c r="L25" s="322"/>
    </row>
    <row r="26" spans="2:12" ht="37.5" customHeight="1" x14ac:dyDescent="0.2">
      <c r="B26" s="2477" t="s">
        <v>2152</v>
      </c>
      <c r="C26" s="2477"/>
      <c r="D26" s="2477"/>
      <c r="E26" s="2477"/>
      <c r="F26" s="2477"/>
      <c r="G26" s="2477"/>
      <c r="H26" s="2477"/>
      <c r="I26" s="2477"/>
      <c r="J26" s="2477"/>
      <c r="K26" s="2477"/>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1756</v>
      </c>
      <c r="C28" s="1459"/>
      <c r="D28" s="322"/>
      <c r="E28" s="322"/>
      <c r="F28" s="322"/>
      <c r="G28" s="1378"/>
      <c r="H28" s="322"/>
      <c r="I28" s="1378"/>
      <c r="J28" s="322"/>
      <c r="K28" s="322"/>
      <c r="L28" s="322"/>
    </row>
    <row r="29" spans="2:12" ht="37.5" customHeight="1" x14ac:dyDescent="0.2">
      <c r="B29" s="2477" t="s">
        <v>2167</v>
      </c>
      <c r="C29" s="2477"/>
      <c r="D29" s="2477"/>
      <c r="E29" s="2477"/>
      <c r="F29" s="2477"/>
      <c r="G29" s="2477"/>
      <c r="H29" s="2477"/>
      <c r="I29" s="2477"/>
      <c r="J29" s="2477"/>
      <c r="K29" s="2477"/>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37.5" customHeight="1" x14ac:dyDescent="0.2">
      <c r="B32" s="2477" t="s">
        <v>2168</v>
      </c>
      <c r="C32" s="2477"/>
      <c r="D32" s="2477"/>
      <c r="E32" s="2477"/>
      <c r="F32" s="2477"/>
      <c r="G32" s="2477"/>
      <c r="H32" s="2477"/>
      <c r="I32" s="2477"/>
      <c r="J32" s="2477"/>
      <c r="K32" s="2477"/>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37.5" customHeight="1" x14ac:dyDescent="0.2">
      <c r="B35" s="2477" t="s">
        <v>2169</v>
      </c>
      <c r="C35" s="2477"/>
      <c r="D35" s="2477"/>
      <c r="E35" s="2477"/>
      <c r="F35" s="2477"/>
      <c r="G35" s="2477"/>
      <c r="H35" s="2477"/>
      <c r="I35" s="2477"/>
      <c r="J35" s="2477"/>
      <c r="K35" s="2477"/>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35.25" customHeight="1" x14ac:dyDescent="0.2">
      <c r="B38" s="2477" t="s">
        <v>2170</v>
      </c>
      <c r="C38" s="2477"/>
      <c r="D38" s="2477"/>
      <c r="E38" s="2477"/>
      <c r="F38" s="2477"/>
      <c r="G38" s="2477"/>
      <c r="H38" s="2477"/>
      <c r="I38" s="2477"/>
      <c r="J38" s="2477"/>
      <c r="K38" s="2477"/>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1757</v>
      </c>
      <c r="C40" s="1398"/>
      <c r="D40" s="1373"/>
      <c r="E40" s="1374"/>
      <c r="F40" s="1374"/>
      <c r="G40" s="1375"/>
      <c r="H40" s="1374"/>
      <c r="I40" s="1375"/>
      <c r="J40" s="1374"/>
      <c r="K40" s="1374"/>
    </row>
    <row r="41" spans="2:12" s="322" customFormat="1" ht="33.75" customHeight="1" x14ac:dyDescent="0.2">
      <c r="B41" s="2477" t="s">
        <v>2171</v>
      </c>
      <c r="C41" s="2477"/>
      <c r="D41" s="2477"/>
      <c r="E41" s="2477"/>
      <c r="F41" s="2477"/>
      <c r="G41" s="2477"/>
      <c r="H41" s="2477"/>
      <c r="I41" s="2477"/>
      <c r="J41" s="2477"/>
      <c r="K41" s="2477"/>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1758</v>
      </c>
      <c r="C44" s="1401"/>
      <c r="D44" s="322"/>
      <c r="E44" s="322"/>
      <c r="F44" s="322"/>
    </row>
    <row r="45" spans="2:12" ht="10.5" customHeight="1" x14ac:dyDescent="0.2">
      <c r="B45" s="1402" t="s">
        <v>1759</v>
      </c>
      <c r="C45" s="1402"/>
      <c r="G45" s="317"/>
      <c r="I45" s="317"/>
    </row>
    <row r="46" spans="2:12" ht="11.1" customHeight="1" x14ac:dyDescent="0.2">
      <c r="B46" s="1402" t="s">
        <v>1760</v>
      </c>
      <c r="C46" s="1402"/>
      <c r="G46" s="317"/>
      <c r="I46" s="317"/>
    </row>
    <row r="47" spans="2:12" ht="11.1" customHeight="1" x14ac:dyDescent="0.2">
      <c r="B47" s="1402" t="s">
        <v>1761</v>
      </c>
      <c r="C47" s="1402"/>
      <c r="G47" s="317"/>
      <c r="I47" s="317"/>
    </row>
    <row r="48" spans="2:12" ht="11.1" customHeight="1" x14ac:dyDescent="0.2">
      <c r="B48" s="1402" t="s">
        <v>1762</v>
      </c>
      <c r="C48" s="1402"/>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E73"/>
  <sheetViews>
    <sheetView showGridLines="0" topLeftCell="A4" zoomScale="110" zoomScaleNormal="110" workbookViewId="0">
      <selection activeCell="C11" sqref="C1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2" t="str">
        <f>'Single Audit Cover'!A7</f>
        <v>Grundy County Spec Educ Coop</v>
      </c>
      <c r="C1" s="2462"/>
      <c r="D1" s="2462"/>
      <c r="E1" s="1467"/>
    </row>
    <row r="2" spans="2:5" s="1279" customFormat="1" ht="12.75" customHeight="1" x14ac:dyDescent="0.2">
      <c r="B2" s="2464">
        <f>'Single Audit Cover'!E7</f>
        <v>24032101061</v>
      </c>
      <c r="C2" s="2464"/>
      <c r="D2" s="2464"/>
      <c r="E2" s="1468"/>
    </row>
    <row r="3" spans="2:5" ht="12.75" customHeight="1" x14ac:dyDescent="0.2">
      <c r="B3" s="2478" t="s">
        <v>1763</v>
      </c>
      <c r="C3" s="2478"/>
      <c r="D3" s="2478"/>
      <c r="E3" s="1271"/>
    </row>
    <row r="4" spans="2:5" s="1279" customFormat="1" ht="12.75" customHeight="1" x14ac:dyDescent="0.2">
      <c r="B4" s="2488" t="str">
        <f>'Single Audit Cover'!A4</f>
        <v>Year Ending June 30, 2019</v>
      </c>
      <c r="C4" s="2488"/>
      <c r="D4" s="2488"/>
      <c r="E4" s="1469"/>
    </row>
    <row r="5" spans="2:5" s="1279" customFormat="1" ht="40.15" customHeight="1" x14ac:dyDescent="0.2">
      <c r="B5" s="1470" t="s">
        <v>1764</v>
      </c>
      <c r="C5" s="328"/>
      <c r="D5" s="328"/>
      <c r="E5" s="328"/>
    </row>
    <row r="6" spans="2:5" s="1279" customFormat="1" ht="13.5" customHeight="1" x14ac:dyDescent="0.2">
      <c r="B6" s="1471" t="s">
        <v>1315</v>
      </c>
      <c r="C6" s="1471" t="s">
        <v>1314</v>
      </c>
      <c r="D6" s="1471" t="s">
        <v>1765</v>
      </c>
    </row>
    <row r="7" spans="2:5" ht="13.5" customHeight="1" x14ac:dyDescent="0.2">
      <c r="B7" s="1472" t="s">
        <v>2172</v>
      </c>
      <c r="C7" s="324" t="s">
        <v>2173</v>
      </c>
      <c r="D7" s="324" t="s">
        <v>2174</v>
      </c>
      <c r="E7" s="324"/>
    </row>
    <row r="8" spans="2:5" ht="13.5" customHeight="1" x14ac:dyDescent="0.2">
      <c r="B8" s="1472" t="s">
        <v>2176</v>
      </c>
      <c r="C8" s="324" t="s">
        <v>2177</v>
      </c>
      <c r="D8" s="324" t="s">
        <v>2175</v>
      </c>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4" t="s">
        <v>1313</v>
      </c>
      <c r="C44" s="322"/>
    </row>
    <row r="45" spans="2:5" ht="12.2" customHeight="1" x14ac:dyDescent="0.2">
      <c r="B45" s="1481" t="s">
        <v>1766</v>
      </c>
    </row>
    <row r="46" spans="2:5" ht="12.2" customHeight="1" x14ac:dyDescent="0.2">
      <c r="B46" s="1481" t="s">
        <v>1767</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7"/>
    </row>
    <row r="69" spans="2:2" x14ac:dyDescent="0.2">
      <c r="B69" s="1297"/>
    </row>
    <row r="70" spans="2:2" x14ac:dyDescent="0.2">
      <c r="B70" s="1402"/>
    </row>
    <row r="71" spans="2:2" x14ac:dyDescent="0.2">
      <c r="B71" s="1402"/>
    </row>
    <row r="72" spans="2:2" x14ac:dyDescent="0.2">
      <c r="B72" s="1402"/>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colorId="8" zoomScale="110" zoomScaleNormal="110" workbookViewId="0">
      <selection activeCell="A9" sqref="A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6" t="s">
        <v>386</v>
      </c>
      <c r="B1" s="2086"/>
      <c r="C1" s="2086"/>
      <c r="D1" s="2086"/>
      <c r="E1" s="2086"/>
      <c r="F1" s="2086"/>
      <c r="G1" s="2086"/>
      <c r="H1" s="2086"/>
      <c r="I1" s="2086"/>
      <c r="J1" s="2086"/>
      <c r="K1" s="2086"/>
      <c r="L1" s="2086"/>
      <c r="M1" s="208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0">
        <f>ROUND(D10+F10+H10,5)</f>
        <v>0</v>
      </c>
      <c r="K10" s="222"/>
      <c r="L10" s="355"/>
      <c r="M10" s="222"/>
    </row>
    <row r="11" spans="1:14" ht="7.5" customHeight="1" x14ac:dyDescent="0.2">
      <c r="B11" s="222"/>
      <c r="C11" s="222"/>
      <c r="D11" s="2096" t="str">
        <f>IF(SUM(J10)&lt;=0.0999999,"","Enter the Tax Rates by moving the decimal two places to the left.")</f>
        <v/>
      </c>
      <c r="E11" s="2097"/>
      <c r="F11" s="2097"/>
      <c r="G11" s="2097"/>
      <c r="H11" s="2097"/>
      <c r="I11" s="2097"/>
      <c r="J11" s="20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12038913</v>
      </c>
      <c r="E16" s="356"/>
      <c r="F16" s="1731">
        <f>SUM('Acct Summary 7-8'!C17,'Acct Summary 7-8'!D17,'Acct Summary 7-8'!F17)</f>
        <v>11793729</v>
      </c>
      <c r="G16" s="356"/>
      <c r="H16" s="1731">
        <f>SUM(D16-F16)</f>
        <v>245184</v>
      </c>
      <c r="I16" s="222"/>
      <c r="J16" s="1731">
        <f>SUM('Acct Summary 7-8'!C81,'Acct Summary 7-8'!D81,'Acct Summary 7-8'!F81,'Acct Summary 7-8'!I81)</f>
        <v>2326815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3"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7"/>
      <c r="C54" s="2088"/>
      <c r="D54" s="2088"/>
      <c r="E54" s="2088"/>
      <c r="F54" s="2088"/>
      <c r="G54" s="2088"/>
      <c r="H54" s="2088"/>
      <c r="I54" s="2088"/>
      <c r="J54" s="2088"/>
      <c r="K54" s="2088"/>
      <c r="L54" s="2089"/>
      <c r="M54" s="380"/>
    </row>
    <row r="55" spans="1:13" ht="12.75" customHeight="1" x14ac:dyDescent="0.2">
      <c r="B55" s="2090"/>
      <c r="C55" s="2091"/>
      <c r="D55" s="2091"/>
      <c r="E55" s="2091"/>
      <c r="F55" s="2091"/>
      <c r="G55" s="2091"/>
      <c r="H55" s="2091"/>
      <c r="I55" s="2091"/>
      <c r="J55" s="2091"/>
      <c r="K55" s="2091"/>
      <c r="L55" s="2092"/>
      <c r="M55" s="380"/>
    </row>
    <row r="56" spans="1:13" ht="12.75" customHeight="1" x14ac:dyDescent="0.2">
      <c r="B56" s="2090"/>
      <c r="C56" s="2091"/>
      <c r="D56" s="2091"/>
      <c r="E56" s="2091"/>
      <c r="F56" s="2091"/>
      <c r="G56" s="2091"/>
      <c r="H56" s="2091"/>
      <c r="I56" s="2091"/>
      <c r="J56" s="2091"/>
      <c r="K56" s="2091"/>
      <c r="L56" s="2092"/>
      <c r="M56" s="222"/>
    </row>
    <row r="57" spans="1:13" ht="12.75" customHeight="1" x14ac:dyDescent="0.2">
      <c r="B57" s="2090"/>
      <c r="C57" s="2091"/>
      <c r="D57" s="2091"/>
      <c r="E57" s="2091"/>
      <c r="F57" s="2091"/>
      <c r="G57" s="2091"/>
      <c r="H57" s="2091"/>
      <c r="I57" s="2091"/>
      <c r="J57" s="2091"/>
      <c r="K57" s="2091"/>
      <c r="L57" s="2092"/>
      <c r="M57" s="222"/>
    </row>
    <row r="58" spans="1:13" x14ac:dyDescent="0.2">
      <c r="B58" s="2093"/>
      <c r="C58" s="2094"/>
      <c r="D58" s="2094"/>
      <c r="E58" s="2094"/>
      <c r="F58" s="2094"/>
      <c r="G58" s="2094"/>
      <c r="H58" s="2094"/>
      <c r="I58" s="2094"/>
      <c r="J58" s="2094"/>
      <c r="K58" s="2094"/>
      <c r="L58" s="20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8"/>
      <c r="D61" s="20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1"/>
      <c r="B1" s="2102"/>
      <c r="C1" s="2102"/>
      <c r="D1" s="384"/>
      <c r="E1" s="384"/>
      <c r="F1" s="384"/>
      <c r="G1" s="384"/>
      <c r="H1" s="384"/>
      <c r="I1" s="384"/>
      <c r="J1" s="384"/>
      <c r="K1" s="384"/>
      <c r="L1" s="384"/>
      <c r="M1" s="384"/>
      <c r="N1" s="384"/>
      <c r="O1" s="2101"/>
      <c r="P1" s="2102"/>
      <c r="Q1" s="2102"/>
    </row>
    <row r="2" spans="1:18" ht="15" x14ac:dyDescent="0.2">
      <c r="A2" s="2105" t="s">
        <v>556</v>
      </c>
      <c r="B2" s="2105"/>
      <c r="C2" s="2105"/>
      <c r="D2" s="2105"/>
      <c r="E2" s="2105"/>
      <c r="F2" s="2105"/>
      <c r="G2" s="2105"/>
      <c r="H2" s="2105"/>
      <c r="I2" s="2105"/>
      <c r="J2" s="2105"/>
      <c r="K2" s="2105"/>
      <c r="L2" s="2105"/>
      <c r="M2" s="2105"/>
      <c r="N2" s="2105"/>
      <c r="O2" s="2105"/>
      <c r="P2" s="2105"/>
      <c r="Q2" s="2105"/>
      <c r="R2" s="2105"/>
    </row>
    <row r="3" spans="1:18" ht="12.75" x14ac:dyDescent="0.2">
      <c r="A3" s="2106" t="s">
        <v>1413</v>
      </c>
      <c r="B3" s="2106"/>
      <c r="C3" s="2106"/>
      <c r="D3" s="2106"/>
      <c r="E3" s="2106"/>
      <c r="F3" s="2106"/>
      <c r="G3" s="2106"/>
      <c r="H3" s="2106"/>
      <c r="I3" s="2106"/>
      <c r="J3" s="2106"/>
      <c r="K3" s="2106"/>
      <c r="L3" s="2106"/>
      <c r="M3" s="2106"/>
      <c r="N3" s="2106"/>
      <c r="O3" s="2106"/>
      <c r="P3" s="2106"/>
      <c r="Q3" s="2106"/>
      <c r="R3" s="2106"/>
    </row>
    <row r="4" spans="1:18" x14ac:dyDescent="0.2">
      <c r="A4" s="2107" t="s">
        <v>1554</v>
      </c>
      <c r="B4" s="2107"/>
      <c r="C4" s="2107"/>
      <c r="D4" s="2107"/>
      <c r="E4" s="2107"/>
      <c r="F4" s="2107"/>
      <c r="G4" s="2107"/>
      <c r="H4" s="2107"/>
      <c r="I4" s="2107"/>
      <c r="J4" s="2107"/>
      <c r="K4" s="2107"/>
      <c r="L4" s="2107"/>
      <c r="M4" s="2107"/>
      <c r="N4" s="2107"/>
      <c r="O4" s="2107"/>
      <c r="P4" s="2107"/>
      <c r="Q4" s="2107"/>
      <c r="R4" s="21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Grundy County Spec Educ Coop</v>
      </c>
      <c r="E7" s="391"/>
      <c r="G7" s="252"/>
      <c r="H7" s="387"/>
      <c r="I7" s="387"/>
      <c r="J7" s="387"/>
      <c r="K7" s="387"/>
      <c r="L7" s="329"/>
      <c r="M7" s="329"/>
      <c r="N7" s="329"/>
      <c r="O7" s="329"/>
      <c r="P7" s="329"/>
    </row>
    <row r="8" spans="1:18" ht="12.75" x14ac:dyDescent="0.2">
      <c r="A8" s="329"/>
      <c r="B8" s="329"/>
      <c r="C8" s="389" t="s">
        <v>1125</v>
      </c>
      <c r="D8" s="392">
        <f>COVER!A13</f>
        <v>24032101061</v>
      </c>
      <c r="E8" s="393"/>
      <c r="G8" s="329"/>
      <c r="H8" s="329"/>
      <c r="I8" s="329"/>
      <c r="J8" s="329"/>
      <c r="K8" s="329"/>
      <c r="L8" s="329"/>
      <c r="M8" s="329"/>
      <c r="N8" s="329"/>
      <c r="O8" s="329"/>
      <c r="P8" s="329"/>
    </row>
    <row r="9" spans="1:18" ht="12.75" x14ac:dyDescent="0.2">
      <c r="A9" s="329"/>
      <c r="B9" s="329"/>
      <c r="C9" s="389" t="s">
        <v>713</v>
      </c>
      <c r="D9" s="394" t="str">
        <f>COVER!A15</f>
        <v>Grundy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2326815</v>
      </c>
      <c r="I12" s="404"/>
      <c r="J12" s="404"/>
      <c r="K12" s="405">
        <f>TRUNC((H12/H13*100000),5)/100000</f>
        <v>0.19327450900000001</v>
      </c>
      <c r="L12" s="406"/>
      <c r="M12" s="360" t="s">
        <v>1144</v>
      </c>
      <c r="N12" s="360"/>
      <c r="O12" s="407">
        <v>0.35</v>
      </c>
      <c r="P12" s="218"/>
      <c r="Q12" s="218"/>
    </row>
    <row r="13" spans="1:18" s="408" customFormat="1" ht="12.75" x14ac:dyDescent="0.2">
      <c r="A13" s="218"/>
      <c r="B13" s="401"/>
      <c r="C13" s="2103" t="s">
        <v>1324</v>
      </c>
      <c r="D13" s="2104"/>
      <c r="E13" s="218"/>
      <c r="F13" s="409" t="s">
        <v>793</v>
      </c>
      <c r="G13" s="402"/>
      <c r="H13" s="403">
        <f>SUM('Acct Summary 7-8'!C8+'Acct Summary 7-8'!D8+'Acct Summary 7-8'!F8+'Acct Summary 7-8'!I8)+H14</f>
        <v>12038913</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11793729</v>
      </c>
      <c r="I17" s="404"/>
      <c r="J17" s="416"/>
      <c r="K17" s="405">
        <f>TRUNC((H17/H18*100000),5)/100000</f>
        <v>0.9796340416999999</v>
      </c>
      <c r="L17" s="406"/>
      <c r="M17" s="417" t="s">
        <v>1171</v>
      </c>
      <c r="O17" s="418" t="str">
        <f>IF(AND(O16="2", J20 &gt; 2),"1",IF(AND(O16 = "1", J20 &gt; 2),"2",IF(AND(O16="1", J20 &gt;1),"1","0")))</f>
        <v>0</v>
      </c>
      <c r="P17" s="218"/>
    </row>
    <row r="18" spans="1:18" s="408" customFormat="1" ht="11.25" x14ac:dyDescent="0.2">
      <c r="A18" s="218"/>
      <c r="B18" s="401"/>
      <c r="C18" s="2103" t="s">
        <v>1317</v>
      </c>
      <c r="D18" s="2104"/>
      <c r="E18" s="218"/>
      <c r="F18" s="419" t="s">
        <v>794</v>
      </c>
      <c r="G18" s="402"/>
      <c r="H18" s="403">
        <f>SUM('Acct Summary 7-8'!C8+'Acct Summary 7-8'!D8+'Acct Summary 7-8'!F8+'Acct Summary 7-8'!I8)+H19</f>
        <v>12038913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00" t="s">
        <v>1412</v>
      </c>
      <c r="D24" s="2100"/>
      <c r="E24" s="218"/>
      <c r="F24" s="218" t="s">
        <v>445</v>
      </c>
      <c r="G24" s="402"/>
      <c r="H24" s="403">
        <f>SUM('Assets-Liab 5-6'!C4+'Assets-Liab 5-6'!D4+'Assets-Liab 5-6'!F4+'Assets-Liab 5-6'!I4+'Assets-Liab 5-6'!C5+'Assets-Liab 5-6'!D5+'Assets-Liab 5-6'!F5+'Assets-Liab 5-6'!I5)</f>
        <v>2326815</v>
      </c>
      <c r="I24" s="422"/>
      <c r="J24" s="422"/>
      <c r="K24" s="423">
        <f>TRUNC(((H24/H25*100000)/100000),2)</f>
        <v>71.02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32760.358329999999</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colorId="8" zoomScale="90" zoomScaleNormal="90" workbookViewId="0">
      <pane ySplit="2" topLeftCell="A24" activePane="bottomLeft" state="frozen"/>
      <selection pane="bottomLeft" activeCell="L39" sqref="L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0" t="s">
        <v>973</v>
      </c>
      <c r="B3" s="2111"/>
      <c r="C3" s="1557"/>
      <c r="D3" s="1558"/>
      <c r="E3" s="1558"/>
      <c r="F3" s="1558"/>
      <c r="G3" s="1558"/>
      <c r="H3" s="1558"/>
      <c r="I3" s="1558"/>
      <c r="J3" s="1558"/>
      <c r="K3" s="1558"/>
      <c r="L3" s="1558"/>
      <c r="M3" s="1559"/>
      <c r="N3" s="1560"/>
    </row>
    <row r="4" spans="1:14" ht="13.5" customHeight="1" x14ac:dyDescent="0.2">
      <c r="A4" s="463" t="s">
        <v>1651</v>
      </c>
      <c r="B4" s="464"/>
      <c r="C4" s="465">
        <v>2326815</v>
      </c>
      <c r="D4" s="466"/>
      <c r="E4" s="466"/>
      <c r="F4" s="466"/>
      <c r="G4" s="466"/>
      <c r="H4" s="466"/>
      <c r="I4" s="466"/>
      <c r="J4" s="467"/>
      <c r="K4" s="466"/>
      <c r="L4" s="466">
        <v>1356421</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2326815</v>
      </c>
      <c r="D13" s="1735">
        <f t="shared" ref="D13:L13" si="0">SUM(D4:D12)</f>
        <v>0</v>
      </c>
      <c r="E13" s="1735">
        <f t="shared" si="0"/>
        <v>0</v>
      </c>
      <c r="F13" s="1735">
        <f t="shared" si="0"/>
        <v>0</v>
      </c>
      <c r="G13" s="1735">
        <f t="shared" si="0"/>
        <v>0</v>
      </c>
      <c r="H13" s="1735">
        <f t="shared" si="0"/>
        <v>0</v>
      </c>
      <c r="I13" s="1735">
        <f t="shared" si="0"/>
        <v>0</v>
      </c>
      <c r="J13" s="1735">
        <f t="shared" si="0"/>
        <v>0</v>
      </c>
      <c r="K13" s="1735">
        <f t="shared" si="0"/>
        <v>0</v>
      </c>
      <c r="L13" s="1735">
        <f t="shared" si="0"/>
        <v>1356421</v>
      </c>
      <c r="M13" s="468"/>
      <c r="N13" s="469"/>
    </row>
    <row r="14" spans="1:14" ht="18" customHeight="1" thickTop="1" x14ac:dyDescent="0.2">
      <c r="A14" s="2112" t="s">
        <v>147</v>
      </c>
      <c r="B14" s="2113"/>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74871</v>
      </c>
      <c r="N16" s="484"/>
    </row>
    <row r="17" spans="1:14" s="485" customFormat="1" ht="12.75" customHeight="1" x14ac:dyDescent="0.2">
      <c r="A17" s="482" t="s">
        <v>1403</v>
      </c>
      <c r="B17" s="483">
        <v>230</v>
      </c>
      <c r="C17" s="477"/>
      <c r="D17" s="477"/>
      <c r="E17" s="477"/>
      <c r="F17" s="477"/>
      <c r="G17" s="477"/>
      <c r="H17" s="477"/>
      <c r="I17" s="477"/>
      <c r="J17" s="477"/>
      <c r="K17" s="477"/>
      <c r="L17" s="477"/>
      <c r="M17" s="467">
        <v>1451927</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92496</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4" t="s">
        <v>643</v>
      </c>
      <c r="B23" s="1739"/>
      <c r="C23" s="468"/>
      <c r="D23" s="468"/>
      <c r="E23" s="468"/>
      <c r="F23" s="468"/>
      <c r="G23" s="468"/>
      <c r="H23" s="468"/>
      <c r="I23" s="468"/>
      <c r="J23" s="468"/>
      <c r="K23" s="468"/>
      <c r="L23" s="468"/>
      <c r="M23" s="1686">
        <f>SUM(M15:M22)</f>
        <v>1619294</v>
      </c>
      <c r="N23" s="1686">
        <f>SUM(N21:N22)</f>
        <v>0</v>
      </c>
    </row>
    <row r="24" spans="1:14" ht="18" customHeight="1" thickTop="1" x14ac:dyDescent="0.2">
      <c r="A24" s="2114" t="s">
        <v>598</v>
      </c>
      <c r="B24" s="2115"/>
      <c r="C24" s="1566"/>
      <c r="D24" s="1563"/>
      <c r="E24" s="1563"/>
      <c r="F24" s="1563"/>
      <c r="G24" s="1563"/>
      <c r="H24" s="1563"/>
      <c r="I24" s="1563"/>
      <c r="J24" s="1563"/>
      <c r="K24" s="1563"/>
      <c r="L24" s="1563"/>
      <c r="M24" s="1562"/>
      <c r="N24" s="1567"/>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3579</v>
      </c>
      <c r="M33" s="468"/>
      <c r="N33" s="469"/>
    </row>
    <row r="34" spans="1:14" ht="13.5" customHeight="1" thickBot="1" x14ac:dyDescent="0.25">
      <c r="A34" s="1736" t="s">
        <v>654</v>
      </c>
      <c r="B34" s="1737"/>
      <c r="C34" s="1738">
        <f>SUM(C25:C33)</f>
        <v>0</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3579</v>
      </c>
      <c r="M34" s="468"/>
      <c r="N34" s="480"/>
    </row>
    <row r="35" spans="1:14" ht="18" customHeight="1" thickTop="1" x14ac:dyDescent="0.2">
      <c r="A35" s="2116" t="s">
        <v>529</v>
      </c>
      <c r="B35" s="2117"/>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4" t="s">
        <v>653</v>
      </c>
      <c r="B37" s="1739"/>
      <c r="C37" s="477"/>
      <c r="D37" s="477"/>
      <c r="E37" s="477"/>
      <c r="F37" s="477"/>
      <c r="G37" s="477"/>
      <c r="H37" s="477"/>
      <c r="I37" s="477"/>
      <c r="J37" s="477"/>
      <c r="K37" s="477"/>
      <c r="L37" s="480"/>
      <c r="M37" s="468"/>
      <c r="N37" s="1686">
        <f>SUM(N36:N36)</f>
        <v>0</v>
      </c>
    </row>
    <row r="38" spans="1:14" s="329" customFormat="1" ht="13.5" customHeight="1" thickTop="1" x14ac:dyDescent="0.2">
      <c r="A38" s="496" t="s">
        <v>420</v>
      </c>
      <c r="B38" s="483">
        <v>714</v>
      </c>
      <c r="C38" s="466">
        <v>612861</v>
      </c>
      <c r="D38" s="466"/>
      <c r="E38" s="466"/>
      <c r="F38" s="466"/>
      <c r="G38" s="466"/>
      <c r="H38" s="466"/>
      <c r="I38" s="466"/>
      <c r="J38" s="467"/>
      <c r="K38" s="466"/>
      <c r="L38" s="481">
        <v>1352842</v>
      </c>
      <c r="M38" s="497"/>
      <c r="N38" s="497"/>
    </row>
    <row r="39" spans="1:14" s="329" customFormat="1" ht="13.5" customHeight="1" x14ac:dyDescent="0.2">
      <c r="A39" s="496" t="s">
        <v>342</v>
      </c>
      <c r="B39" s="483">
        <v>730</v>
      </c>
      <c r="C39" s="466">
        <v>1713954</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1619294</v>
      </c>
      <c r="N40" s="497"/>
    </row>
    <row r="41" spans="1:14" ht="13.5" customHeight="1" thickBot="1" x14ac:dyDescent="0.25">
      <c r="A41" s="1734" t="s">
        <v>655</v>
      </c>
      <c r="B41" s="1704"/>
      <c r="C41" s="1686">
        <f>(SUM(C34,C37,C38,C39))</f>
        <v>2326815</v>
      </c>
      <c r="D41" s="1686">
        <f t="shared" ref="D41:L41" si="2">SUM(D34,D37,D38:D39)</f>
        <v>0</v>
      </c>
      <c r="E41" s="1686">
        <f t="shared" si="2"/>
        <v>0</v>
      </c>
      <c r="F41" s="1686">
        <f t="shared" si="2"/>
        <v>0</v>
      </c>
      <c r="G41" s="1686">
        <f t="shared" si="2"/>
        <v>0</v>
      </c>
      <c r="H41" s="1686">
        <f t="shared" si="2"/>
        <v>0</v>
      </c>
      <c r="I41" s="1686">
        <f t="shared" si="2"/>
        <v>0</v>
      </c>
      <c r="J41" s="1686">
        <f t="shared" si="2"/>
        <v>0</v>
      </c>
      <c r="K41" s="1686">
        <f t="shared" si="2"/>
        <v>0</v>
      </c>
      <c r="L41" s="1686">
        <f t="shared" si="2"/>
        <v>1356421</v>
      </c>
      <c r="M41" s="1686">
        <f>SUM(M40)</f>
        <v>1619294</v>
      </c>
      <c r="N41" s="1686">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M87"/>
  <sheetViews>
    <sheetView showGridLines="0" defaultGridColor="0" colorId="8" zoomScale="90" zoomScaleNormal="90" zoomScaleSheetLayoutView="100" workbookViewId="0">
      <pane ySplit="2" topLeftCell="A9" activePane="bottomLeft" state="frozen"/>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6"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8" t="s">
        <v>1175</v>
      </c>
      <c r="B3" s="2139"/>
      <c r="C3" s="1571"/>
      <c r="D3" s="1572"/>
      <c r="E3" s="1572"/>
      <c r="F3" s="1572"/>
      <c r="G3" s="1572"/>
      <c r="H3" s="1572"/>
      <c r="I3" s="1572"/>
      <c r="J3" s="1572"/>
      <c r="K3" s="1573"/>
      <c r="L3" s="506"/>
    </row>
    <row r="4" spans="1:13" ht="15.75" customHeight="1" x14ac:dyDescent="0.2">
      <c r="A4" s="1926" t="s">
        <v>1499</v>
      </c>
      <c r="B4" s="1927">
        <v>1000</v>
      </c>
      <c r="C4" s="1740">
        <f>'Revenues 9-14'!C109</f>
        <v>7972592</v>
      </c>
      <c r="D4" s="1740">
        <f>'Revenues 9-14'!D109</f>
        <v>0</v>
      </c>
      <c r="E4" s="1740">
        <f>'Revenues 9-14'!E109</f>
        <v>0</v>
      </c>
      <c r="F4" s="1740">
        <f>'Revenues 9-14'!F109</f>
        <v>0</v>
      </c>
      <c r="G4" s="1740">
        <f>'Revenues 9-14'!G109</f>
        <v>0</v>
      </c>
      <c r="H4" s="1740">
        <f>'Revenues 9-14'!H109</f>
        <v>0</v>
      </c>
      <c r="I4" s="1740">
        <f>'Revenues 9-14'!I109</f>
        <v>0</v>
      </c>
      <c r="J4" s="1740">
        <f>'Revenues 9-14'!J109</f>
        <v>0</v>
      </c>
      <c r="K4" s="1740">
        <f>'Revenues 9-14'!K109</f>
        <v>0</v>
      </c>
      <c r="L4" s="347"/>
    </row>
    <row r="5" spans="1:13" ht="15.75" customHeight="1" x14ac:dyDescent="0.2">
      <c r="A5" s="1574" t="s">
        <v>1500</v>
      </c>
      <c r="B5" s="1575">
        <v>2000</v>
      </c>
      <c r="C5" s="1741">
        <f>'Revenues 9-14'!C114</f>
        <v>171327</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4" t="s">
        <v>1501</v>
      </c>
      <c r="B6" s="1576">
        <v>3000</v>
      </c>
      <c r="C6" s="1741">
        <f>'Revenues 9-14'!C170</f>
        <v>909515</v>
      </c>
      <c r="D6" s="1741">
        <f>'Revenues 9-14'!D170</f>
        <v>0</v>
      </c>
      <c r="E6" s="1741">
        <f>'Revenues 9-14'!E170</f>
        <v>0</v>
      </c>
      <c r="F6" s="1741">
        <f>'Revenues 9-14'!F170</f>
        <v>0</v>
      </c>
      <c r="G6" s="1741">
        <f>'Revenues 9-14'!G170</f>
        <v>0</v>
      </c>
      <c r="H6" s="1741">
        <f>'Revenues 9-14'!H170</f>
        <v>0</v>
      </c>
      <c r="I6" s="1741">
        <f>'Revenues 9-14'!I170</f>
        <v>0</v>
      </c>
      <c r="J6" s="1741">
        <f>'Revenues 9-14'!J170</f>
        <v>0</v>
      </c>
      <c r="K6" s="1741">
        <f>'Revenues 9-14'!K170</f>
        <v>0</v>
      </c>
      <c r="L6" s="347"/>
      <c r="M6" s="513"/>
    </row>
    <row r="7" spans="1:13" ht="15.75" customHeight="1" x14ac:dyDescent="0.2">
      <c r="A7" s="1574" t="s">
        <v>1502</v>
      </c>
      <c r="B7" s="1576">
        <v>4000</v>
      </c>
      <c r="C7" s="1741">
        <f>'Revenues 9-14'!C267</f>
        <v>2985479</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12038913</v>
      </c>
      <c r="D8" s="1686">
        <f t="shared" ref="D8:K8" si="0">SUM(D4:D7)</f>
        <v>0</v>
      </c>
      <c r="E8" s="1686">
        <f t="shared" si="0"/>
        <v>0</v>
      </c>
      <c r="F8" s="1686">
        <f t="shared" si="0"/>
        <v>0</v>
      </c>
      <c r="G8" s="1686">
        <f t="shared" si="0"/>
        <v>0</v>
      </c>
      <c r="H8" s="1686">
        <f t="shared" si="0"/>
        <v>0</v>
      </c>
      <c r="I8" s="1686">
        <f t="shared" si="0"/>
        <v>0</v>
      </c>
      <c r="J8" s="1686">
        <f t="shared" si="0"/>
        <v>0</v>
      </c>
      <c r="K8" s="1686">
        <f t="shared" si="0"/>
        <v>0</v>
      </c>
      <c r="L8" s="347"/>
    </row>
    <row r="9" spans="1:13" ht="15.75" thickTop="1" x14ac:dyDescent="0.2">
      <c r="A9" s="514" t="s">
        <v>1653</v>
      </c>
      <c r="B9" s="515">
        <v>3998</v>
      </c>
      <c r="C9" s="481">
        <v>441359</v>
      </c>
      <c r="D9" s="516"/>
      <c r="E9" s="481"/>
      <c r="F9" s="481"/>
      <c r="G9" s="517"/>
      <c r="H9" s="481"/>
      <c r="I9" s="509" t="s">
        <v>1169</v>
      </c>
      <c r="J9" s="478"/>
      <c r="K9" s="481"/>
      <c r="L9" s="347"/>
    </row>
    <row r="10" spans="1:13" s="519" customFormat="1" ht="13.5" thickBot="1" x14ac:dyDescent="0.25">
      <c r="A10" s="1734" t="s">
        <v>1173</v>
      </c>
      <c r="B10" s="1707"/>
      <c r="C10" s="1686">
        <f>SUM(C8:C9)</f>
        <v>12480272</v>
      </c>
      <c r="D10" s="1686">
        <f t="shared" ref="D10:K10" si="1">SUM(D8:D9)</f>
        <v>0</v>
      </c>
      <c r="E10" s="1686">
        <f t="shared" si="1"/>
        <v>0</v>
      </c>
      <c r="F10" s="1686">
        <f t="shared" si="1"/>
        <v>0</v>
      </c>
      <c r="G10" s="1686">
        <f t="shared" si="1"/>
        <v>0</v>
      </c>
      <c r="H10" s="1686">
        <f t="shared" si="1"/>
        <v>0</v>
      </c>
      <c r="I10" s="1686">
        <f t="shared" si="1"/>
        <v>0</v>
      </c>
      <c r="J10" s="1686">
        <f t="shared" si="1"/>
        <v>0</v>
      </c>
      <c r="K10" s="1686">
        <f t="shared" si="1"/>
        <v>0</v>
      </c>
      <c r="L10" s="518"/>
    </row>
    <row r="11" spans="1:13" s="519" customFormat="1" ht="16.7" customHeight="1" thickTop="1" x14ac:dyDescent="0.2">
      <c r="A11" s="2112" t="s">
        <v>1176</v>
      </c>
      <c r="B11" s="2113"/>
      <c r="C11" s="1568"/>
      <c r="D11" s="1569"/>
      <c r="E11" s="1569"/>
      <c r="F11" s="1569"/>
      <c r="G11" s="1569"/>
      <c r="H11" s="1569"/>
      <c r="I11" s="1569"/>
      <c r="J11" s="1569"/>
      <c r="K11" s="1570"/>
      <c r="L11" s="518"/>
    </row>
    <row r="12" spans="1:13" ht="15.75" customHeight="1" x14ac:dyDescent="0.2">
      <c r="A12" s="1574" t="s">
        <v>456</v>
      </c>
      <c r="B12" s="1576">
        <v>1000</v>
      </c>
      <c r="C12" s="1740">
        <f>'Expenditures 15-22'!K33</f>
        <v>6860574</v>
      </c>
      <c r="D12" s="520" t="s">
        <v>1169</v>
      </c>
      <c r="E12" s="468" t="s">
        <v>1169</v>
      </c>
      <c r="F12" s="468" t="s">
        <v>1169</v>
      </c>
      <c r="G12" s="1740">
        <f>'Expenditures 15-22'!K229</f>
        <v>0</v>
      </c>
      <c r="H12" s="521"/>
      <c r="I12" s="468" t="s">
        <v>1169</v>
      </c>
      <c r="J12" s="468" t="s">
        <v>1169</v>
      </c>
      <c r="K12" s="521" t="s">
        <v>1169</v>
      </c>
      <c r="L12" s="347"/>
    </row>
    <row r="13" spans="1:13" ht="15.75" customHeight="1" x14ac:dyDescent="0.2">
      <c r="A13" s="1574" t="s">
        <v>457</v>
      </c>
      <c r="B13" s="1576">
        <v>2000</v>
      </c>
      <c r="C13" s="1741">
        <f>'Expenditures 15-22'!K74</f>
        <v>2714509</v>
      </c>
      <c r="D13" s="1741">
        <f>'Expenditures 15-22'!K129</f>
        <v>127896</v>
      </c>
      <c r="E13" s="469" t="s">
        <v>1169</v>
      </c>
      <c r="F13" s="1741">
        <f>'Expenditures 15-22'!K184</f>
        <v>0</v>
      </c>
      <c r="G13" s="1741">
        <f>'Expenditures 15-22'!K279</f>
        <v>0</v>
      </c>
      <c r="H13" s="1741">
        <f>'Expenditures 15-22'!K303</f>
        <v>0</v>
      </c>
      <c r="I13" s="468" t="s">
        <v>1169</v>
      </c>
      <c r="J13" s="1741">
        <f>'Expenditures 15-22'!K330</f>
        <v>0</v>
      </c>
      <c r="K13" s="1745">
        <f>'Expenditures 15-22'!K352</f>
        <v>0</v>
      </c>
      <c r="L13" s="347"/>
    </row>
    <row r="14" spans="1:13" ht="15.75" customHeight="1" x14ac:dyDescent="0.2">
      <c r="A14" s="1574" t="s">
        <v>449</v>
      </c>
      <c r="B14" s="1576">
        <v>3000</v>
      </c>
      <c r="C14" s="1741">
        <f>'Expenditures 15-22'!K75</f>
        <v>0</v>
      </c>
      <c r="D14" s="1741">
        <f>'Expenditures 15-22'!K130</f>
        <v>0</v>
      </c>
      <c r="E14" s="520" t="s">
        <v>1169</v>
      </c>
      <c r="F14" s="1741">
        <f>'Expenditures 15-22'!K185</f>
        <v>0</v>
      </c>
      <c r="G14" s="1741">
        <f>'Expenditures 15-22'!K280</f>
        <v>0</v>
      </c>
      <c r="H14" s="512"/>
      <c r="I14" s="468" t="s">
        <v>1169</v>
      </c>
      <c r="J14" s="468" t="s">
        <v>1169</v>
      </c>
      <c r="K14" s="512" t="s">
        <v>1169</v>
      </c>
      <c r="L14" s="347"/>
    </row>
    <row r="15" spans="1:13" ht="15.75" customHeight="1" x14ac:dyDescent="0.2">
      <c r="A15" s="1574" t="s">
        <v>107</v>
      </c>
      <c r="B15" s="1576">
        <v>4000</v>
      </c>
      <c r="C15" s="1741">
        <f>'Expenditures 15-22'!K102</f>
        <v>2090750</v>
      </c>
      <c r="D15" s="1741">
        <f>'Expenditures 15-22'!K139</f>
        <v>0</v>
      </c>
      <c r="E15" s="1741">
        <f>'Expenditures 15-22'!K160</f>
        <v>0</v>
      </c>
      <c r="F15" s="1741">
        <f>'Expenditures 15-22'!K196</f>
        <v>0</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4" t="s">
        <v>450</v>
      </c>
      <c r="B16" s="1576">
        <v>5000</v>
      </c>
      <c r="C16" s="1741">
        <f>'Expenditures 15-22'!K112</f>
        <v>0</v>
      </c>
      <c r="D16" s="1741">
        <f>'Expenditures 15-22'!K149</f>
        <v>0</v>
      </c>
      <c r="E16" s="1741">
        <f>'Expenditures 15-22'!K172</f>
        <v>0</v>
      </c>
      <c r="F16" s="1741">
        <f>'Expenditures 15-22'!K208</f>
        <v>0</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11665833</v>
      </c>
      <c r="D17" s="1686">
        <f t="shared" si="2"/>
        <v>127896</v>
      </c>
      <c r="E17" s="1686">
        <f t="shared" si="2"/>
        <v>0</v>
      </c>
      <c r="F17" s="1686">
        <f t="shared" si="2"/>
        <v>0</v>
      </c>
      <c r="G17" s="1686">
        <f t="shared" si="2"/>
        <v>0</v>
      </c>
      <c r="H17" s="1686">
        <f t="shared" si="2"/>
        <v>0</v>
      </c>
      <c r="I17" s="468"/>
      <c r="J17" s="1686">
        <f>SUM(J12:J16)</f>
        <v>0</v>
      </c>
      <c r="K17" s="1686">
        <f>SUM(K12:K16)</f>
        <v>0</v>
      </c>
      <c r="L17" s="347"/>
    </row>
    <row r="18" spans="1:12" ht="15" customHeight="1" thickTop="1" x14ac:dyDescent="0.2">
      <c r="A18" s="1742" t="s">
        <v>1654</v>
      </c>
      <c r="B18" s="1743">
        <v>4180</v>
      </c>
      <c r="C18" s="1740">
        <f t="shared" ref="C18:H18" si="3">C9</f>
        <v>441359</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12107192</v>
      </c>
      <c r="D19" s="1686">
        <f t="shared" si="4"/>
        <v>127896</v>
      </c>
      <c r="E19" s="1686">
        <f t="shared" si="4"/>
        <v>0</v>
      </c>
      <c r="F19" s="1686">
        <f t="shared" si="4"/>
        <v>0</v>
      </c>
      <c r="G19" s="1686">
        <f t="shared" si="4"/>
        <v>0</v>
      </c>
      <c r="H19" s="1686">
        <f t="shared" si="4"/>
        <v>0</v>
      </c>
      <c r="I19" s="468"/>
      <c r="J19" s="1686">
        <f>SUM(J17:J18)</f>
        <v>0</v>
      </c>
      <c r="K19" s="1686">
        <f>SUM(K17:K18)</f>
        <v>0</v>
      </c>
      <c r="L19" s="347"/>
    </row>
    <row r="20" spans="1:12" ht="16.5" thickTop="1" thickBot="1" x14ac:dyDescent="0.25">
      <c r="A20" s="2128" t="s">
        <v>1655</v>
      </c>
      <c r="B20" s="2129"/>
      <c r="C20" s="1744">
        <f>C8-C17</f>
        <v>373080</v>
      </c>
      <c r="D20" s="1744">
        <f t="shared" ref="D20:K20" si="5">D8-D17</f>
        <v>-127896</v>
      </c>
      <c r="E20" s="1744">
        <f t="shared" si="5"/>
        <v>0</v>
      </c>
      <c r="F20" s="1744">
        <f t="shared" si="5"/>
        <v>0</v>
      </c>
      <c r="G20" s="1744">
        <f t="shared" si="5"/>
        <v>0</v>
      </c>
      <c r="H20" s="1744">
        <f t="shared" si="5"/>
        <v>0</v>
      </c>
      <c r="I20" s="1744">
        <f t="shared" si="5"/>
        <v>0</v>
      </c>
      <c r="J20" s="1744">
        <f t="shared" si="5"/>
        <v>0</v>
      </c>
      <c r="K20" s="1744">
        <f t="shared" si="5"/>
        <v>0</v>
      </c>
      <c r="L20" s="347"/>
    </row>
    <row r="21" spans="1:12" ht="16.7" customHeight="1" thickTop="1" x14ac:dyDescent="0.2">
      <c r="A21" s="2140" t="s">
        <v>595</v>
      </c>
      <c r="B21" s="2141"/>
      <c r="C21" s="1568"/>
      <c r="D21" s="1569"/>
      <c r="E21" s="1569"/>
      <c r="F21" s="1569"/>
      <c r="G21" s="1569"/>
      <c r="H21" s="1569"/>
      <c r="I21" s="1569"/>
      <c r="J21" s="1569"/>
      <c r="K21" s="1570"/>
      <c r="L21" s="524"/>
    </row>
    <row r="22" spans="1:12" ht="15.75" customHeight="1" collapsed="1" x14ac:dyDescent="0.2">
      <c r="A22" s="2136" t="s">
        <v>596</v>
      </c>
      <c r="B22" s="2137"/>
      <c r="C22" s="477"/>
      <c r="D22" s="477"/>
      <c r="E22" s="477"/>
      <c r="F22" s="477"/>
      <c r="G22" s="477"/>
      <c r="H22" s="477"/>
      <c r="I22" s="477"/>
      <c r="J22" s="477"/>
      <c r="K22" s="477"/>
      <c r="L22" s="347"/>
    </row>
    <row r="23" spans="1:12" s="485" customFormat="1" ht="15.75" customHeight="1" x14ac:dyDescent="0.2">
      <c r="A23" s="2132" t="s">
        <v>293</v>
      </c>
      <c r="B23" s="2133"/>
      <c r="C23" s="480"/>
      <c r="D23" s="477"/>
      <c r="E23" s="477"/>
      <c r="F23" s="477"/>
      <c r="G23" s="477"/>
      <c r="H23" s="477"/>
      <c r="I23" s="477"/>
      <c r="J23" s="477"/>
      <c r="K23" s="477"/>
      <c r="L23" s="524"/>
    </row>
    <row r="24" spans="1:12" s="485" customFormat="1" ht="13.5" customHeight="1" x14ac:dyDescent="0.2">
      <c r="A24" s="1487" t="s">
        <v>1656</v>
      </c>
      <c r="B24" s="525">
        <v>7110</v>
      </c>
      <c r="C24" s="467"/>
      <c r="D24" s="477"/>
      <c r="E24" s="477"/>
      <c r="F24" s="477"/>
      <c r="G24" s="477"/>
      <c r="H24" s="477"/>
      <c r="I24" s="477"/>
      <c r="J24" s="477"/>
      <c r="K24" s="477"/>
      <c r="L24" s="524"/>
    </row>
    <row r="25" spans="1:12" s="485" customFormat="1" ht="13.5" customHeight="1" x14ac:dyDescent="0.2">
      <c r="A25" s="1487" t="s">
        <v>1657</v>
      </c>
      <c r="B25" s="525">
        <v>7110</v>
      </c>
      <c r="C25" s="467"/>
      <c r="D25" s="467"/>
      <c r="E25" s="467"/>
      <c r="F25" s="467"/>
      <c r="G25" s="467"/>
      <c r="H25" s="467"/>
      <c r="I25" s="477"/>
      <c r="J25" s="467"/>
      <c r="K25" s="467"/>
      <c r="L25" s="524"/>
    </row>
    <row r="26" spans="1:12" s="485" customFormat="1" ht="13.5" customHeight="1" x14ac:dyDescent="0.2">
      <c r="A26" s="1487" t="s">
        <v>184</v>
      </c>
      <c r="B26" s="483">
        <v>7120</v>
      </c>
      <c r="C26" s="467"/>
      <c r="D26" s="467"/>
      <c r="E26" s="467"/>
      <c r="F26" s="467"/>
      <c r="G26" s="467"/>
      <c r="H26" s="467"/>
      <c r="I26" s="477"/>
      <c r="J26" s="467"/>
      <c r="K26" s="467"/>
      <c r="L26" s="524"/>
    </row>
    <row r="27" spans="1:12" s="485" customFormat="1" ht="13.5" customHeight="1" x14ac:dyDescent="0.2">
      <c r="A27" s="1487" t="s">
        <v>185</v>
      </c>
      <c r="B27" s="483">
        <v>7130</v>
      </c>
      <c r="C27" s="467"/>
      <c r="D27" s="467">
        <v>127896</v>
      </c>
      <c r="E27" s="526"/>
      <c r="F27" s="467"/>
      <c r="G27" s="480"/>
      <c r="H27" s="480"/>
      <c r="I27" s="480"/>
      <c r="J27" s="480"/>
      <c r="K27" s="480"/>
      <c r="L27" s="524"/>
    </row>
    <row r="28" spans="1:12" s="485" customFormat="1" ht="13.5" customHeight="1" x14ac:dyDescent="0.2">
      <c r="A28" s="1487" t="s">
        <v>1398</v>
      </c>
      <c r="B28" s="483">
        <v>7140</v>
      </c>
      <c r="C28" s="467"/>
      <c r="D28" s="467"/>
      <c r="E28" s="467"/>
      <c r="F28" s="467"/>
      <c r="G28" s="467"/>
      <c r="H28" s="467"/>
      <c r="I28" s="467"/>
      <c r="J28" s="467"/>
      <c r="K28" s="467"/>
      <c r="L28" s="524"/>
    </row>
    <row r="29" spans="1:12" s="485" customFormat="1" ht="13.5" customHeight="1" x14ac:dyDescent="0.2">
      <c r="A29" s="1487" t="s">
        <v>294</v>
      </c>
      <c r="B29" s="483">
        <v>7150</v>
      </c>
      <c r="C29" s="475"/>
      <c r="D29" s="467"/>
      <c r="E29" s="475"/>
      <c r="F29" s="475"/>
      <c r="G29" s="475"/>
      <c r="H29" s="475"/>
      <c r="I29" s="475"/>
      <c r="J29" s="475"/>
      <c r="K29" s="475"/>
      <c r="L29" s="524"/>
    </row>
    <row r="30" spans="1:12" s="485" customFormat="1" ht="26.25" x14ac:dyDescent="0.2">
      <c r="A30" s="1487" t="s">
        <v>1791</v>
      </c>
      <c r="B30" s="527">
        <v>7160</v>
      </c>
      <c r="C30" s="477"/>
      <c r="D30" s="467"/>
      <c r="E30" s="477"/>
      <c r="F30" s="477"/>
      <c r="G30" s="477"/>
      <c r="H30" s="477"/>
      <c r="I30" s="477"/>
      <c r="J30" s="477"/>
      <c r="K30" s="477"/>
      <c r="L30" s="524"/>
    </row>
    <row r="31" spans="1:12" s="485" customFormat="1" ht="26.25" x14ac:dyDescent="0.2">
      <c r="A31" s="1487" t="s">
        <v>1795</v>
      </c>
      <c r="B31" s="527">
        <v>7170</v>
      </c>
      <c r="C31" s="477"/>
      <c r="D31" s="477"/>
      <c r="E31" s="474"/>
      <c r="F31" s="477"/>
      <c r="G31" s="477"/>
      <c r="H31" s="477"/>
      <c r="I31" s="477"/>
      <c r="J31" s="477"/>
      <c r="K31" s="477"/>
      <c r="L31" s="524"/>
    </row>
    <row r="32" spans="1:12" s="485" customFormat="1" ht="15.75" customHeight="1" x14ac:dyDescent="0.2">
      <c r="A32" s="2134" t="s">
        <v>981</v>
      </c>
      <c r="B32" s="2135"/>
      <c r="C32" s="477"/>
      <c r="D32" s="477"/>
      <c r="E32" s="475"/>
      <c r="F32" s="477"/>
      <c r="G32" s="477"/>
      <c r="H32" s="477"/>
      <c r="I32" s="477"/>
      <c r="J32" s="477"/>
      <c r="K32" s="477"/>
      <c r="L32" s="524"/>
    </row>
    <row r="33" spans="1:12" s="485" customFormat="1" x14ac:dyDescent="0.2">
      <c r="A33" s="1487" t="s">
        <v>412</v>
      </c>
      <c r="B33" s="525">
        <v>7210</v>
      </c>
      <c r="C33" s="467"/>
      <c r="D33" s="467"/>
      <c r="E33" s="467"/>
      <c r="F33" s="467"/>
      <c r="G33" s="477"/>
      <c r="H33" s="467"/>
      <c r="I33" s="467"/>
      <c r="J33" s="467"/>
      <c r="K33" s="467"/>
      <c r="L33" s="524"/>
    </row>
    <row r="34" spans="1:12" s="485" customFormat="1" x14ac:dyDescent="0.2">
      <c r="A34" s="1487" t="s">
        <v>1001</v>
      </c>
      <c r="B34" s="525">
        <v>7220</v>
      </c>
      <c r="C34" s="467"/>
      <c r="D34" s="467"/>
      <c r="E34" s="467"/>
      <c r="F34" s="467"/>
      <c r="G34" s="477"/>
      <c r="H34" s="478"/>
      <c r="I34" s="478"/>
      <c r="J34" s="478"/>
      <c r="K34" s="478"/>
      <c r="L34" s="524"/>
    </row>
    <row r="35" spans="1:12" s="485" customFormat="1" x14ac:dyDescent="0.2">
      <c r="A35" s="1487" t="s">
        <v>990</v>
      </c>
      <c r="B35" s="525">
        <v>7230</v>
      </c>
      <c r="C35" s="467"/>
      <c r="D35" s="467"/>
      <c r="E35" s="467"/>
      <c r="F35" s="467"/>
      <c r="G35" s="480"/>
      <c r="H35" s="467"/>
      <c r="I35" s="467"/>
      <c r="J35" s="467"/>
      <c r="K35" s="467"/>
      <c r="L35" s="524"/>
    </row>
    <row r="36" spans="1:12" s="485" customFormat="1" ht="15" x14ac:dyDescent="0.2">
      <c r="A36" s="1487" t="s">
        <v>1658</v>
      </c>
      <c r="B36" s="525">
        <v>7300</v>
      </c>
      <c r="C36" s="467"/>
      <c r="D36" s="467"/>
      <c r="E36" s="467"/>
      <c r="F36" s="467"/>
      <c r="G36" s="467"/>
      <c r="H36" s="467"/>
      <c r="I36" s="475"/>
      <c r="J36" s="467"/>
      <c r="K36" s="467"/>
      <c r="L36" s="524"/>
    </row>
    <row r="37" spans="1:12" s="485" customFormat="1" x14ac:dyDescent="0.2">
      <c r="A37" s="1487" t="s">
        <v>441</v>
      </c>
      <c r="B37" s="525">
        <v>7400</v>
      </c>
      <c r="C37" s="475"/>
      <c r="D37" s="475"/>
      <c r="E37" s="1741">
        <f>SUM(C54:D57,H54:H57)</f>
        <v>0</v>
      </c>
      <c r="F37" s="475"/>
      <c r="G37" s="475"/>
      <c r="H37" s="475"/>
      <c r="I37" s="477"/>
      <c r="J37" s="475"/>
      <c r="K37" s="475"/>
      <c r="L37" s="524"/>
    </row>
    <row r="38" spans="1:12" s="485" customFormat="1" x14ac:dyDescent="0.2">
      <c r="A38" s="1487" t="s">
        <v>442</v>
      </c>
      <c r="B38" s="525">
        <v>7500</v>
      </c>
      <c r="C38" s="477"/>
      <c r="D38" s="477"/>
      <c r="E38" s="1741">
        <f>SUM(C58:D61,H58:H61)</f>
        <v>0</v>
      </c>
      <c r="F38" s="477"/>
      <c r="G38" s="477"/>
      <c r="H38" s="477"/>
      <c r="I38" s="477"/>
      <c r="J38" s="477"/>
      <c r="K38" s="477"/>
      <c r="L38" s="524"/>
    </row>
    <row r="39" spans="1:12" s="485" customFormat="1" x14ac:dyDescent="0.2">
      <c r="A39" s="1487" t="s">
        <v>443</v>
      </c>
      <c r="B39" s="525">
        <v>7600</v>
      </c>
      <c r="C39" s="477"/>
      <c r="D39" s="477"/>
      <c r="E39" s="1741">
        <f>SUM(C62:D65)</f>
        <v>0</v>
      </c>
      <c r="F39" s="477"/>
      <c r="G39" s="477"/>
      <c r="H39" s="477"/>
      <c r="I39" s="477"/>
      <c r="J39" s="477"/>
      <c r="K39" s="477"/>
      <c r="L39" s="524"/>
    </row>
    <row r="40" spans="1:12" s="485" customFormat="1" ht="13.5" customHeight="1" x14ac:dyDescent="0.2">
      <c r="A40" s="1487" t="s">
        <v>642</v>
      </c>
      <c r="B40" s="483">
        <v>7700</v>
      </c>
      <c r="C40" s="477"/>
      <c r="D40" s="477"/>
      <c r="E40" s="1741">
        <f>SUM(C66:D69)</f>
        <v>0</v>
      </c>
      <c r="F40" s="477"/>
      <c r="G40" s="477"/>
      <c r="H40" s="480"/>
      <c r="I40" s="477"/>
      <c r="J40" s="477"/>
      <c r="K40" s="477"/>
      <c r="L40" s="524"/>
    </row>
    <row r="41" spans="1:12" s="485" customFormat="1" ht="13.5" customHeight="1" x14ac:dyDescent="0.2">
      <c r="A41" s="1487" t="s">
        <v>640</v>
      </c>
      <c r="B41" s="483">
        <v>7800</v>
      </c>
      <c r="C41" s="480"/>
      <c r="D41" s="480"/>
      <c r="E41" s="526"/>
      <c r="F41" s="480"/>
      <c r="G41" s="480"/>
      <c r="H41" s="1741">
        <f>SUM(C70:D73)</f>
        <v>0</v>
      </c>
      <c r="I41" s="477"/>
      <c r="J41" s="477"/>
      <c r="K41" s="480"/>
      <c r="L41" s="524"/>
    </row>
    <row r="42" spans="1:12" s="485" customFormat="1" ht="13.5" customHeight="1" x14ac:dyDescent="0.2">
      <c r="A42" s="1487" t="s">
        <v>641</v>
      </c>
      <c r="B42" s="483">
        <v>7900</v>
      </c>
      <c r="C42" s="467"/>
      <c r="D42" s="467"/>
      <c r="E42" s="467"/>
      <c r="F42" s="467"/>
      <c r="G42" s="467"/>
      <c r="H42" s="467"/>
      <c r="I42" s="480"/>
      <c r="J42" s="480"/>
      <c r="K42" s="467"/>
      <c r="L42" s="524"/>
    </row>
    <row r="43" spans="1:12" s="485" customFormat="1" ht="13.5" customHeight="1" x14ac:dyDescent="0.2">
      <c r="A43" s="1487" t="s">
        <v>373</v>
      </c>
      <c r="B43" s="483">
        <v>7990</v>
      </c>
      <c r="C43" s="467"/>
      <c r="D43" s="467"/>
      <c r="E43" s="467"/>
      <c r="F43" s="467"/>
      <c r="G43" s="467"/>
      <c r="H43" s="467"/>
      <c r="I43" s="467"/>
      <c r="J43" s="467"/>
      <c r="K43" s="467"/>
      <c r="L43" s="524"/>
    </row>
    <row r="44" spans="1:12" s="485" customFormat="1" ht="13.5" customHeight="1" thickBot="1" x14ac:dyDescent="0.25">
      <c r="A44" s="2142" t="s">
        <v>374</v>
      </c>
      <c r="B44" s="2143"/>
      <c r="C44" s="1701">
        <f>SUM(C24:C43)</f>
        <v>0</v>
      </c>
      <c r="D44" s="1701">
        <f t="shared" ref="D44:K44" si="6">SUM(D24:D43)</f>
        <v>127896</v>
      </c>
      <c r="E44" s="1701">
        <f t="shared" si="6"/>
        <v>0</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136" t="s">
        <v>108</v>
      </c>
      <c r="B45" s="2137"/>
      <c r="C45" s="528"/>
      <c r="D45" s="528"/>
      <c r="E45" s="528"/>
      <c r="F45" s="528"/>
      <c r="G45" s="528"/>
      <c r="H45" s="528"/>
      <c r="I45" s="528"/>
      <c r="J45" s="528"/>
      <c r="K45" s="528"/>
      <c r="L45" s="347"/>
    </row>
    <row r="46" spans="1:12" s="485" customFormat="1" ht="15.75" customHeight="1" x14ac:dyDescent="0.2">
      <c r="A46" s="2144" t="s">
        <v>109</v>
      </c>
      <c r="B46" s="2145"/>
      <c r="C46" s="477"/>
      <c r="D46" s="477"/>
      <c r="E46" s="477"/>
      <c r="F46" s="477"/>
      <c r="G46" s="477"/>
      <c r="H46" s="477"/>
      <c r="I46" s="480"/>
      <c r="J46" s="477"/>
      <c r="K46" s="477"/>
      <c r="L46" s="529"/>
    </row>
    <row r="47" spans="1:12" s="485" customFormat="1" ht="15" x14ac:dyDescent="0.2">
      <c r="A47" s="1488" t="s">
        <v>1659</v>
      </c>
      <c r="B47" s="483">
        <v>8110</v>
      </c>
      <c r="C47" s="477"/>
      <c r="D47" s="477"/>
      <c r="E47" s="477"/>
      <c r="F47" s="477"/>
      <c r="G47" s="477"/>
      <c r="H47" s="477"/>
      <c r="I47" s="1741">
        <f>SUM(C24,C25:H25,J25:K25)</f>
        <v>0</v>
      </c>
      <c r="J47" s="477"/>
      <c r="K47" s="477"/>
      <c r="L47" s="529"/>
    </row>
    <row r="48" spans="1:12" s="485" customFormat="1" ht="15" x14ac:dyDescent="0.2">
      <c r="A48" s="1488" t="s">
        <v>1660</v>
      </c>
      <c r="B48" s="483">
        <v>8120</v>
      </c>
      <c r="C48" s="480"/>
      <c r="D48" s="480"/>
      <c r="E48" s="477"/>
      <c r="F48" s="480"/>
      <c r="G48" s="477"/>
      <c r="H48" s="477"/>
      <c r="I48" s="1741">
        <f>SUM(C26:H26,J26,K26)</f>
        <v>0</v>
      </c>
      <c r="J48" s="477"/>
      <c r="K48" s="477"/>
      <c r="L48" s="529"/>
    </row>
    <row r="49" spans="1:12" s="485" customFormat="1" x14ac:dyDescent="0.2">
      <c r="A49" s="1488" t="s">
        <v>185</v>
      </c>
      <c r="B49" s="483">
        <v>8130</v>
      </c>
      <c r="C49" s="467">
        <v>127896</v>
      </c>
      <c r="D49" s="467"/>
      <c r="E49" s="480"/>
      <c r="F49" s="467"/>
      <c r="G49" s="480"/>
      <c r="H49" s="480"/>
      <c r="I49" s="477"/>
      <c r="J49" s="480"/>
      <c r="K49" s="477"/>
      <c r="L49" s="524"/>
    </row>
    <row r="50" spans="1:12" s="485" customFormat="1" x14ac:dyDescent="0.2">
      <c r="A50" s="1488" t="s">
        <v>1398</v>
      </c>
      <c r="B50" s="483">
        <v>8140</v>
      </c>
      <c r="C50" s="467"/>
      <c r="D50" s="467"/>
      <c r="E50" s="467"/>
      <c r="F50" s="467"/>
      <c r="G50" s="467"/>
      <c r="H50" s="467"/>
      <c r="I50" s="477"/>
      <c r="J50" s="467"/>
      <c r="K50" s="477"/>
      <c r="L50" s="524"/>
    </row>
    <row r="51" spans="1:12" s="485" customFormat="1" x14ac:dyDescent="0.2">
      <c r="A51" s="1488" t="s">
        <v>294</v>
      </c>
      <c r="B51" s="483">
        <v>8150</v>
      </c>
      <c r="C51" s="475"/>
      <c r="D51" s="475"/>
      <c r="E51" s="475"/>
      <c r="F51" s="475"/>
      <c r="G51" s="475"/>
      <c r="H51" s="1741">
        <f>SUM(D29)</f>
        <v>0</v>
      </c>
      <c r="I51" s="477"/>
      <c r="J51" s="475"/>
      <c r="K51" s="480"/>
      <c r="L51" s="524"/>
    </row>
    <row r="52" spans="1:12" s="485" customFormat="1" ht="26.25" x14ac:dyDescent="0.2">
      <c r="A52" s="1488" t="s">
        <v>1794</v>
      </c>
      <c r="B52" s="483">
        <v>8160</v>
      </c>
      <c r="C52" s="477"/>
      <c r="D52" s="477"/>
      <c r="E52" s="477"/>
      <c r="F52" s="477"/>
      <c r="G52" s="477"/>
      <c r="H52" s="477"/>
      <c r="I52" s="477"/>
      <c r="J52" s="477"/>
      <c r="K52" s="1741">
        <f>D30</f>
        <v>0</v>
      </c>
      <c r="L52" s="524"/>
    </row>
    <row r="53" spans="1:12" s="485" customFormat="1" ht="26.25" x14ac:dyDescent="0.2">
      <c r="A53" s="1488" t="s">
        <v>1793</v>
      </c>
      <c r="B53" s="483">
        <v>8170</v>
      </c>
      <c r="C53" s="480"/>
      <c r="D53" s="480"/>
      <c r="E53" s="477"/>
      <c r="F53" s="477"/>
      <c r="G53" s="477"/>
      <c r="H53" s="480"/>
      <c r="I53" s="477"/>
      <c r="J53" s="477"/>
      <c r="K53" s="1741">
        <f>E31</f>
        <v>0</v>
      </c>
      <c r="L53" s="524"/>
    </row>
    <row r="54" spans="1:12" s="485" customFormat="1" ht="13.5" thickBot="1" x14ac:dyDescent="0.25">
      <c r="A54" s="1488" t="s">
        <v>692</v>
      </c>
      <c r="B54" s="483">
        <v>8410</v>
      </c>
      <c r="C54" s="530"/>
      <c r="D54" s="530"/>
      <c r="E54" s="477"/>
      <c r="F54" s="477"/>
      <c r="G54" s="477"/>
      <c r="H54" s="530"/>
      <c r="I54" s="477"/>
      <c r="J54" s="477"/>
      <c r="K54" s="475"/>
      <c r="L54" s="524"/>
    </row>
    <row r="55" spans="1:12" s="485" customFormat="1" ht="14.25" thickTop="1" thickBot="1" x14ac:dyDescent="0.25">
      <c r="A55" s="1489" t="s">
        <v>693</v>
      </c>
      <c r="B55" s="483">
        <v>8420</v>
      </c>
      <c r="C55" s="531"/>
      <c r="D55" s="531"/>
      <c r="E55" s="477"/>
      <c r="F55" s="477"/>
      <c r="G55" s="477"/>
      <c r="H55" s="530"/>
      <c r="I55" s="477"/>
      <c r="J55" s="477"/>
      <c r="K55" s="477"/>
      <c r="L55" s="524"/>
    </row>
    <row r="56" spans="1:12" s="485" customFormat="1" ht="14.25" thickTop="1" thickBot="1" x14ac:dyDescent="0.25">
      <c r="A56" s="1488" t="s">
        <v>581</v>
      </c>
      <c r="B56" s="483">
        <v>8430</v>
      </c>
      <c r="C56" s="531"/>
      <c r="D56" s="531"/>
      <c r="E56" s="477"/>
      <c r="F56" s="477"/>
      <c r="G56" s="477"/>
      <c r="H56" s="530"/>
      <c r="I56" s="477"/>
      <c r="J56" s="477"/>
      <c r="K56" s="477"/>
      <c r="L56" s="524"/>
    </row>
    <row r="57" spans="1:12" s="485" customFormat="1" ht="14.25" thickTop="1" thickBot="1" x14ac:dyDescent="0.25">
      <c r="A57" s="1489" t="s">
        <v>578</v>
      </c>
      <c r="B57" s="483">
        <v>8440</v>
      </c>
      <c r="C57" s="531"/>
      <c r="D57" s="531"/>
      <c r="E57" s="477"/>
      <c r="F57" s="477"/>
      <c r="G57" s="477"/>
      <c r="H57" s="530"/>
      <c r="I57" s="477"/>
      <c r="J57" s="477"/>
      <c r="K57" s="477"/>
      <c r="L57" s="524"/>
    </row>
    <row r="58" spans="1:12" s="485" customFormat="1" ht="14.25" thickTop="1" thickBot="1" x14ac:dyDescent="0.25">
      <c r="A58" s="1488" t="s">
        <v>579</v>
      </c>
      <c r="B58" s="483">
        <v>8510</v>
      </c>
      <c r="C58" s="531"/>
      <c r="D58" s="531"/>
      <c r="E58" s="477"/>
      <c r="F58" s="477"/>
      <c r="G58" s="477"/>
      <c r="H58" s="530"/>
      <c r="I58" s="477"/>
      <c r="J58" s="477"/>
      <c r="K58" s="477"/>
      <c r="L58" s="524"/>
    </row>
    <row r="59" spans="1:12" s="485" customFormat="1" ht="14.25" thickTop="1" thickBot="1" x14ac:dyDescent="0.25">
      <c r="A59" s="1490" t="s">
        <v>694</v>
      </c>
      <c r="B59" s="483">
        <v>8520</v>
      </c>
      <c r="C59" s="531"/>
      <c r="D59" s="531"/>
      <c r="E59" s="477"/>
      <c r="F59" s="477"/>
      <c r="G59" s="477"/>
      <c r="H59" s="530"/>
      <c r="I59" s="477"/>
      <c r="J59" s="477"/>
      <c r="K59" s="477"/>
      <c r="L59" s="524"/>
    </row>
    <row r="60" spans="1:12" s="485" customFormat="1" ht="14.25" thickTop="1" thickBot="1" x14ac:dyDescent="0.25">
      <c r="A60" s="1488" t="s">
        <v>580</v>
      </c>
      <c r="B60" s="483">
        <v>8530</v>
      </c>
      <c r="C60" s="531"/>
      <c r="D60" s="531"/>
      <c r="E60" s="477"/>
      <c r="F60" s="477"/>
      <c r="G60" s="477"/>
      <c r="H60" s="530"/>
      <c r="I60" s="477"/>
      <c r="J60" s="477"/>
      <c r="K60" s="477"/>
      <c r="L60" s="524"/>
    </row>
    <row r="61" spans="1:12" s="485" customFormat="1" ht="14.25" thickTop="1" thickBot="1" x14ac:dyDescent="0.25">
      <c r="A61" s="1489" t="s">
        <v>743</v>
      </c>
      <c r="B61" s="483">
        <v>8540</v>
      </c>
      <c r="C61" s="531"/>
      <c r="D61" s="531"/>
      <c r="E61" s="477"/>
      <c r="F61" s="477"/>
      <c r="G61" s="477"/>
      <c r="H61" s="530"/>
      <c r="I61" s="477"/>
      <c r="J61" s="477"/>
      <c r="K61" s="477"/>
      <c r="L61" s="524"/>
    </row>
    <row r="62" spans="1:12" s="485" customFormat="1" ht="13.5" customHeight="1" thickTop="1" thickBot="1" x14ac:dyDescent="0.25">
      <c r="A62" s="1488" t="s">
        <v>744</v>
      </c>
      <c r="B62" s="483">
        <v>8610</v>
      </c>
      <c r="C62" s="531"/>
      <c r="D62" s="531"/>
      <c r="E62" s="477"/>
      <c r="F62" s="477"/>
      <c r="G62" s="477"/>
      <c r="H62" s="477"/>
      <c r="I62" s="477"/>
      <c r="J62" s="477"/>
      <c r="K62" s="477"/>
      <c r="L62" s="524"/>
    </row>
    <row r="63" spans="1:12" s="485" customFormat="1" ht="14.25" thickTop="1" thickBot="1" x14ac:dyDescent="0.25">
      <c r="A63" s="1489" t="s">
        <v>695</v>
      </c>
      <c r="B63" s="483">
        <v>8620</v>
      </c>
      <c r="C63" s="531"/>
      <c r="D63" s="531"/>
      <c r="E63" s="477"/>
      <c r="F63" s="477"/>
      <c r="G63" s="477"/>
      <c r="H63" s="477"/>
      <c r="I63" s="477"/>
      <c r="J63" s="477"/>
      <c r="K63" s="477"/>
      <c r="L63" s="524"/>
    </row>
    <row r="64" spans="1:12" s="485" customFormat="1" ht="13.5" customHeight="1" thickTop="1" thickBot="1" x14ac:dyDescent="0.25">
      <c r="A64" s="1488" t="s">
        <v>745</v>
      </c>
      <c r="B64" s="483">
        <v>8630</v>
      </c>
      <c r="C64" s="531"/>
      <c r="D64" s="531"/>
      <c r="E64" s="477"/>
      <c r="F64" s="477"/>
      <c r="G64" s="477"/>
      <c r="H64" s="477"/>
      <c r="I64" s="477"/>
      <c r="J64" s="477"/>
      <c r="K64" s="477"/>
      <c r="L64" s="524"/>
    </row>
    <row r="65" spans="1:12" s="485" customFormat="1" ht="14.25" thickTop="1" thickBot="1" x14ac:dyDescent="0.25">
      <c r="A65" s="1489" t="s">
        <v>746</v>
      </c>
      <c r="B65" s="483">
        <v>8640</v>
      </c>
      <c r="C65" s="531"/>
      <c r="D65" s="531"/>
      <c r="E65" s="477"/>
      <c r="F65" s="477"/>
      <c r="G65" s="477"/>
      <c r="H65" s="477"/>
      <c r="I65" s="477"/>
      <c r="J65" s="477"/>
      <c r="K65" s="477"/>
      <c r="L65" s="524"/>
    </row>
    <row r="66" spans="1:12" s="485" customFormat="1" ht="14.25" thickTop="1" thickBot="1" x14ac:dyDescent="0.25">
      <c r="A66" s="1488" t="s">
        <v>747</v>
      </c>
      <c r="B66" s="483">
        <v>8710</v>
      </c>
      <c r="C66" s="531"/>
      <c r="D66" s="531"/>
      <c r="E66" s="477"/>
      <c r="F66" s="477"/>
      <c r="G66" s="477"/>
      <c r="H66" s="477"/>
      <c r="I66" s="477"/>
      <c r="J66" s="477"/>
      <c r="K66" s="477"/>
      <c r="L66" s="524"/>
    </row>
    <row r="67" spans="1:12" s="485" customFormat="1" ht="14.25" thickTop="1" thickBot="1" x14ac:dyDescent="0.25">
      <c r="A67" s="1489" t="s">
        <v>696</v>
      </c>
      <c r="B67" s="483">
        <v>8720</v>
      </c>
      <c r="C67" s="531"/>
      <c r="D67" s="531"/>
      <c r="E67" s="477"/>
      <c r="F67" s="477"/>
      <c r="G67" s="477"/>
      <c r="H67" s="477"/>
      <c r="I67" s="477"/>
      <c r="J67" s="477"/>
      <c r="K67" s="477"/>
      <c r="L67" s="524"/>
    </row>
    <row r="68" spans="1:12" s="485" customFormat="1" ht="14.25" thickTop="1" thickBot="1" x14ac:dyDescent="0.25">
      <c r="A68" s="1490" t="s">
        <v>748</v>
      </c>
      <c r="B68" s="483">
        <v>8730</v>
      </c>
      <c r="C68" s="531"/>
      <c r="D68" s="531"/>
      <c r="E68" s="477"/>
      <c r="F68" s="477"/>
      <c r="G68" s="477"/>
      <c r="H68" s="477"/>
      <c r="I68" s="477"/>
      <c r="J68" s="477"/>
      <c r="K68" s="477"/>
      <c r="L68" s="524"/>
    </row>
    <row r="69" spans="1:12" s="485" customFormat="1" ht="14.25" thickTop="1" thickBot="1" x14ac:dyDescent="0.25">
      <c r="A69" s="1489" t="s">
        <v>749</v>
      </c>
      <c r="B69" s="483">
        <v>8740</v>
      </c>
      <c r="C69" s="531"/>
      <c r="D69" s="531"/>
      <c r="E69" s="477"/>
      <c r="F69" s="477"/>
      <c r="G69" s="477"/>
      <c r="H69" s="477"/>
      <c r="I69" s="477"/>
      <c r="J69" s="477"/>
      <c r="K69" s="477"/>
      <c r="L69" s="524"/>
    </row>
    <row r="70" spans="1:12" s="485" customFormat="1" ht="14.25" thickTop="1" thickBot="1" x14ac:dyDescent="0.25">
      <c r="A70" s="1488" t="s">
        <v>750</v>
      </c>
      <c r="B70" s="483">
        <v>8810</v>
      </c>
      <c r="C70" s="531"/>
      <c r="D70" s="531"/>
      <c r="E70" s="477"/>
      <c r="F70" s="477"/>
      <c r="G70" s="477"/>
      <c r="H70" s="477"/>
      <c r="I70" s="477"/>
      <c r="J70" s="477"/>
      <c r="K70" s="477"/>
      <c r="L70" s="524"/>
    </row>
    <row r="71" spans="1:12" s="485" customFormat="1" ht="14.25" thickTop="1" thickBot="1" x14ac:dyDescent="0.25">
      <c r="A71" s="1488" t="s">
        <v>754</v>
      </c>
      <c r="B71" s="483">
        <v>8820</v>
      </c>
      <c r="C71" s="531"/>
      <c r="D71" s="531"/>
      <c r="E71" s="477"/>
      <c r="F71" s="477"/>
      <c r="G71" s="477"/>
      <c r="H71" s="477"/>
      <c r="I71" s="477"/>
      <c r="J71" s="477"/>
      <c r="K71" s="477"/>
      <c r="L71" s="524"/>
    </row>
    <row r="72" spans="1:12" s="485" customFormat="1" ht="14.25" thickTop="1" thickBot="1" x14ac:dyDescent="0.25">
      <c r="A72" s="1488" t="s">
        <v>751</v>
      </c>
      <c r="B72" s="483">
        <v>8830</v>
      </c>
      <c r="C72" s="531"/>
      <c r="D72" s="531"/>
      <c r="E72" s="477"/>
      <c r="F72" s="477"/>
      <c r="G72" s="477"/>
      <c r="H72" s="477"/>
      <c r="I72" s="477"/>
      <c r="J72" s="477"/>
      <c r="K72" s="477"/>
      <c r="L72" s="524"/>
    </row>
    <row r="73" spans="1:12" s="485" customFormat="1" ht="14.25" thickTop="1" thickBot="1" x14ac:dyDescent="0.25">
      <c r="A73" s="1488" t="s">
        <v>752</v>
      </c>
      <c r="B73" s="483">
        <v>8840</v>
      </c>
      <c r="C73" s="531"/>
      <c r="D73" s="531"/>
      <c r="E73" s="477"/>
      <c r="F73" s="477"/>
      <c r="G73" s="477"/>
      <c r="H73" s="477"/>
      <c r="I73" s="477"/>
      <c r="J73" s="477"/>
      <c r="K73" s="480"/>
      <c r="L73" s="524"/>
    </row>
    <row r="74" spans="1:12" s="485" customFormat="1" ht="14.25" thickTop="1" thickBot="1" x14ac:dyDescent="0.25">
      <c r="A74" s="1488" t="s">
        <v>375</v>
      </c>
      <c r="B74" s="483">
        <v>8910</v>
      </c>
      <c r="C74" s="531"/>
      <c r="D74" s="531"/>
      <c r="E74" s="480"/>
      <c r="F74" s="530"/>
      <c r="G74" s="530"/>
      <c r="H74" s="530"/>
      <c r="I74" s="480"/>
      <c r="J74" s="480"/>
      <c r="K74" s="530"/>
      <c r="L74" s="524"/>
    </row>
    <row r="75" spans="1:12" s="485" customFormat="1" ht="14.25" thickTop="1" thickBot="1" x14ac:dyDescent="0.25">
      <c r="A75" s="1491" t="s">
        <v>439</v>
      </c>
      <c r="B75" s="483">
        <v>8990</v>
      </c>
      <c r="C75" s="531"/>
      <c r="D75" s="531"/>
      <c r="E75" s="530"/>
      <c r="F75" s="532"/>
      <c r="G75" s="532"/>
      <c r="H75" s="532"/>
      <c r="I75" s="530"/>
      <c r="J75" s="530"/>
      <c r="K75" s="532"/>
      <c r="L75" s="524"/>
    </row>
    <row r="76" spans="1:12" s="485" customFormat="1" ht="14.25" thickTop="1" thickBot="1" x14ac:dyDescent="0.25">
      <c r="A76" s="2118" t="s">
        <v>440</v>
      </c>
      <c r="B76" s="2119"/>
      <c r="C76" s="1701">
        <f t="shared" ref="C76:K76" si="7">SUM(C47:C75)</f>
        <v>127896</v>
      </c>
      <c r="D76" s="1701">
        <f t="shared" si="7"/>
        <v>0</v>
      </c>
      <c r="E76" s="1701">
        <f t="shared" si="7"/>
        <v>0</v>
      </c>
      <c r="F76" s="1701">
        <f t="shared" si="7"/>
        <v>0</v>
      </c>
      <c r="G76" s="1701">
        <f t="shared" si="7"/>
        <v>0</v>
      </c>
      <c r="H76" s="1701">
        <f t="shared" si="7"/>
        <v>0</v>
      </c>
      <c r="I76" s="1701">
        <f t="shared" si="7"/>
        <v>0</v>
      </c>
      <c r="J76" s="1701">
        <f t="shared" si="7"/>
        <v>0</v>
      </c>
      <c r="K76" s="1701">
        <f t="shared" si="7"/>
        <v>0</v>
      </c>
      <c r="L76" s="524"/>
    </row>
    <row r="77" spans="1:12" ht="14.25" thickTop="1" thickBot="1" x14ac:dyDescent="0.25">
      <c r="A77" s="2120" t="s">
        <v>1177</v>
      </c>
      <c r="B77" s="2121"/>
      <c r="C77" s="1701">
        <f t="shared" ref="C77:K77" si="8">C44-C76</f>
        <v>-127896</v>
      </c>
      <c r="D77" s="1701">
        <f t="shared" si="8"/>
        <v>127896</v>
      </c>
      <c r="E77" s="1701">
        <f t="shared" si="8"/>
        <v>0</v>
      </c>
      <c r="F77" s="1701">
        <f t="shared" si="8"/>
        <v>0</v>
      </c>
      <c r="G77" s="1701">
        <f t="shared" si="8"/>
        <v>0</v>
      </c>
      <c r="H77" s="1701">
        <f t="shared" si="8"/>
        <v>0</v>
      </c>
      <c r="I77" s="1701">
        <f t="shared" si="8"/>
        <v>0</v>
      </c>
      <c r="J77" s="1701">
        <f t="shared" si="8"/>
        <v>0</v>
      </c>
      <c r="K77" s="1701">
        <f t="shared" si="8"/>
        <v>0</v>
      </c>
      <c r="L77" s="347"/>
    </row>
    <row r="78" spans="1:12" ht="21.75" customHeight="1" thickTop="1" thickBot="1" x14ac:dyDescent="0.25">
      <c r="A78" s="2124" t="s">
        <v>597</v>
      </c>
      <c r="B78" s="2125"/>
      <c r="C78" s="1700">
        <f t="shared" ref="C78:K78" si="9">C20+C77</f>
        <v>245184</v>
      </c>
      <c r="D78" s="1700">
        <f t="shared" si="9"/>
        <v>0</v>
      </c>
      <c r="E78" s="1700">
        <f t="shared" si="9"/>
        <v>0</v>
      </c>
      <c r="F78" s="1700">
        <f t="shared" si="9"/>
        <v>0</v>
      </c>
      <c r="G78" s="1700">
        <f t="shared" si="9"/>
        <v>0</v>
      </c>
      <c r="H78" s="1700">
        <f t="shared" si="9"/>
        <v>0</v>
      </c>
      <c r="I78" s="1700">
        <f t="shared" si="9"/>
        <v>0</v>
      </c>
      <c r="J78" s="1700">
        <f t="shared" si="9"/>
        <v>0</v>
      </c>
      <c r="K78" s="1700">
        <f t="shared" si="9"/>
        <v>0</v>
      </c>
      <c r="L78" s="533"/>
    </row>
    <row r="79" spans="1:12" ht="13.5" thickTop="1" x14ac:dyDescent="0.2">
      <c r="A79" s="1492" t="s">
        <v>1944</v>
      </c>
      <c r="B79" s="534"/>
      <c r="C79" s="478">
        <v>2081631</v>
      </c>
      <c r="D79" s="535"/>
      <c r="E79" s="535"/>
      <c r="F79" s="535"/>
      <c r="G79" s="535"/>
      <c r="H79" s="535"/>
      <c r="I79" s="535"/>
      <c r="J79" s="535"/>
      <c r="K79" s="535"/>
      <c r="L79" s="347"/>
    </row>
    <row r="80" spans="1:12" x14ac:dyDescent="0.2">
      <c r="A80" s="2130" t="s">
        <v>1792</v>
      </c>
      <c r="B80" s="2131"/>
      <c r="C80" s="467"/>
      <c r="D80" s="467"/>
      <c r="E80" s="467"/>
      <c r="F80" s="467"/>
      <c r="G80" s="467"/>
      <c r="H80" s="467"/>
      <c r="I80" s="467"/>
      <c r="J80" s="467"/>
      <c r="K80" s="467"/>
      <c r="L80" s="347"/>
    </row>
    <row r="81" spans="1:12" ht="13.5" thickBot="1" x14ac:dyDescent="0.25">
      <c r="A81" s="2122" t="s">
        <v>1945</v>
      </c>
      <c r="B81" s="2123"/>
      <c r="C81" s="1686">
        <f>(SUM(C78:C80))</f>
        <v>2326815</v>
      </c>
      <c r="D81" s="1686">
        <f>SUM(D78:D80)</f>
        <v>0</v>
      </c>
      <c r="E81" s="1686">
        <f t="shared" ref="E81:K81" si="10">SUM(E78:E80)</f>
        <v>0</v>
      </c>
      <c r="F81" s="1686">
        <f t="shared" si="10"/>
        <v>0</v>
      </c>
      <c r="G81" s="1686">
        <f t="shared" si="10"/>
        <v>0</v>
      </c>
      <c r="H81" s="1686">
        <f t="shared" si="10"/>
        <v>0</v>
      </c>
      <c r="I81" s="1686">
        <f t="shared" si="10"/>
        <v>0</v>
      </c>
      <c r="J81" s="1686">
        <f t="shared" si="10"/>
        <v>0</v>
      </c>
      <c r="K81" s="1686">
        <f t="shared" si="10"/>
        <v>0</v>
      </c>
      <c r="L81" s="347"/>
    </row>
    <row r="82" spans="1:12" ht="0.75" customHeight="1" thickTop="1" thickBot="1" x14ac:dyDescent="0.25">
      <c r="A82" s="536" t="s">
        <v>343</v>
      </c>
      <c r="B82" s="537"/>
      <c r="C82" s="538">
        <f>(C81-C79)</f>
        <v>245184</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0.1053732247729192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sheetPr>
  <dimension ref="A1:L279"/>
  <sheetViews>
    <sheetView showGridLines="0" defaultGridColor="0" colorId="8" zoomScale="90" zoomScaleNormal="90" zoomScaleSheetLayoutView="75" workbookViewId="0">
      <pane ySplit="2" topLeftCell="A105" activePane="bottomLeft" state="frozen"/>
      <selection pane="bottomLeft" activeCell="C107" sqref="C10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6" t="s">
        <v>1799</v>
      </c>
      <c r="B1" s="452"/>
      <c r="C1" s="453" t="s">
        <v>425</v>
      </c>
      <c r="D1" s="453" t="s">
        <v>426</v>
      </c>
      <c r="E1" s="453" t="s">
        <v>427</v>
      </c>
      <c r="F1" s="453" t="s">
        <v>428</v>
      </c>
      <c r="G1" s="453" t="s">
        <v>429</v>
      </c>
      <c r="H1" s="453" t="s">
        <v>430</v>
      </c>
      <c r="I1" s="453" t="s">
        <v>431</v>
      </c>
      <c r="J1" s="453" t="s">
        <v>432</v>
      </c>
      <c r="K1" s="453" t="s">
        <v>756</v>
      </c>
    </row>
    <row r="2" spans="1:12" ht="36" x14ac:dyDescent="0.2">
      <c r="A2" s="212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0</v>
      </c>
      <c r="D12" s="1705">
        <f t="shared" si="0"/>
        <v>0</v>
      </c>
      <c r="E12" s="1705">
        <f t="shared" si="0"/>
        <v>0</v>
      </c>
      <c r="F12" s="1705">
        <f t="shared" si="0"/>
        <v>0</v>
      </c>
      <c r="G12" s="1705">
        <f t="shared" si="0"/>
        <v>0</v>
      </c>
      <c r="H12" s="1705">
        <f t="shared" si="0"/>
        <v>0</v>
      </c>
      <c r="I12" s="1705">
        <f t="shared" si="0"/>
        <v>0</v>
      </c>
      <c r="J12" s="1705">
        <f t="shared" si="0"/>
        <v>0</v>
      </c>
      <c r="K12" s="1686">
        <f t="shared" si="0"/>
        <v>0</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6" t="s">
        <v>537</v>
      </c>
      <c r="B18" s="1707"/>
      <c r="C18" s="1708">
        <f>SUM(C14:C17)</f>
        <v>0</v>
      </c>
      <c r="D18" s="1708">
        <f t="shared" ref="D18:K18" si="1">SUM(D14:D17)</f>
        <v>0</v>
      </c>
      <c r="E18" s="1708">
        <f t="shared" si="1"/>
        <v>0</v>
      </c>
      <c r="F18" s="1708">
        <f t="shared" si="1"/>
        <v>0</v>
      </c>
      <c r="G18" s="1708">
        <f t="shared" si="1"/>
        <v>0</v>
      </c>
      <c r="H18" s="1708">
        <f t="shared" si="1"/>
        <v>0</v>
      </c>
      <c r="I18" s="1708">
        <f t="shared" si="1"/>
        <v>0</v>
      </c>
      <c r="J18" s="1708">
        <f t="shared" si="1"/>
        <v>0</v>
      </c>
      <c r="K18" s="1709">
        <f t="shared" si="1"/>
        <v>0</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7131749</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3" t="s">
        <v>594</v>
      </c>
      <c r="B39" s="556">
        <v>1354</v>
      </c>
      <c r="C39" s="489"/>
      <c r="D39" s="468"/>
      <c r="E39" s="468"/>
      <c r="F39" s="468"/>
      <c r="G39" s="468"/>
      <c r="H39" s="468"/>
      <c r="I39" s="468"/>
      <c r="J39" s="468"/>
      <c r="K39" s="468"/>
    </row>
    <row r="40" spans="1:11" ht="12.75" customHeight="1" thickBot="1" x14ac:dyDescent="0.25">
      <c r="A40" s="1706" t="s">
        <v>538</v>
      </c>
      <c r="B40" s="1707"/>
      <c r="C40" s="1686">
        <f>SUM(C20:C39)</f>
        <v>7131749</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4" t="s">
        <v>60</v>
      </c>
      <c r="B51" s="557">
        <v>1431</v>
      </c>
      <c r="C51" s="468"/>
      <c r="D51" s="468"/>
      <c r="E51" s="468"/>
      <c r="F51" s="466"/>
      <c r="G51" s="468"/>
      <c r="H51" s="468"/>
      <c r="I51" s="468"/>
      <c r="J51" s="468"/>
      <c r="K51" s="468"/>
    </row>
    <row r="52" spans="1:11" ht="12.75" customHeight="1" x14ac:dyDescent="0.2">
      <c r="A52" s="1494" t="s">
        <v>1106</v>
      </c>
      <c r="B52" s="557">
        <v>1432</v>
      </c>
      <c r="C52" s="468"/>
      <c r="D52" s="468"/>
      <c r="E52" s="468"/>
      <c r="F52" s="466"/>
      <c r="G52" s="468"/>
      <c r="H52" s="468"/>
      <c r="I52" s="468"/>
      <c r="J52" s="468"/>
      <c r="K52" s="468"/>
    </row>
    <row r="53" spans="1:11" ht="12.75" customHeight="1" x14ac:dyDescent="0.2">
      <c r="A53" s="1494" t="s">
        <v>61</v>
      </c>
      <c r="B53" s="557">
        <v>1433</v>
      </c>
      <c r="C53" s="468"/>
      <c r="D53" s="468"/>
      <c r="E53" s="468"/>
      <c r="F53" s="466"/>
      <c r="G53" s="468"/>
      <c r="H53" s="468"/>
      <c r="I53" s="468"/>
      <c r="J53" s="468"/>
      <c r="K53" s="468"/>
    </row>
    <row r="54" spans="1:11" ht="12.75" customHeight="1" x14ac:dyDescent="0.2">
      <c r="A54" s="1494" t="s">
        <v>62</v>
      </c>
      <c r="B54" s="557">
        <v>1434</v>
      </c>
      <c r="C54" s="468"/>
      <c r="D54" s="468"/>
      <c r="E54" s="468"/>
      <c r="F54" s="467"/>
      <c r="G54" s="468"/>
      <c r="H54" s="468"/>
      <c r="I54" s="468"/>
      <c r="J54" s="468"/>
      <c r="K54" s="468"/>
    </row>
    <row r="55" spans="1:11" ht="12.75" customHeight="1" x14ac:dyDescent="0.2">
      <c r="A55" s="1494" t="s">
        <v>63</v>
      </c>
      <c r="B55" s="557">
        <v>1441</v>
      </c>
      <c r="C55" s="468"/>
      <c r="D55" s="468"/>
      <c r="E55" s="468"/>
      <c r="F55" s="466"/>
      <c r="G55" s="468"/>
      <c r="H55" s="468"/>
      <c r="I55" s="468"/>
      <c r="J55" s="468"/>
      <c r="K55" s="468"/>
    </row>
    <row r="56" spans="1:11" ht="12.75" customHeight="1" x14ac:dyDescent="0.2">
      <c r="A56" s="1494" t="s">
        <v>1107</v>
      </c>
      <c r="B56" s="557">
        <v>1442</v>
      </c>
      <c r="C56" s="468"/>
      <c r="D56" s="468"/>
      <c r="E56" s="468"/>
      <c r="F56" s="466"/>
      <c r="G56" s="468"/>
      <c r="H56" s="468"/>
      <c r="I56" s="468"/>
      <c r="J56" s="468"/>
      <c r="K56" s="468"/>
    </row>
    <row r="57" spans="1:11" ht="12.75" customHeight="1" x14ac:dyDescent="0.2">
      <c r="A57" s="1494" t="s">
        <v>489</v>
      </c>
      <c r="B57" s="557">
        <v>1443</v>
      </c>
      <c r="C57" s="468"/>
      <c r="D57" s="468"/>
      <c r="E57" s="468"/>
      <c r="F57" s="466"/>
      <c r="G57" s="468"/>
      <c r="H57" s="468"/>
      <c r="I57" s="468"/>
      <c r="J57" s="468"/>
      <c r="K57" s="468"/>
    </row>
    <row r="58" spans="1:11" ht="12.75" customHeight="1" x14ac:dyDescent="0.2">
      <c r="A58" s="1494" t="s">
        <v>65</v>
      </c>
      <c r="B58" s="557">
        <v>1444</v>
      </c>
      <c r="C58" s="468"/>
      <c r="D58" s="468"/>
      <c r="E58" s="468"/>
      <c r="F58" s="466"/>
      <c r="G58" s="468"/>
      <c r="H58" s="468"/>
      <c r="I58" s="468"/>
      <c r="J58" s="468"/>
      <c r="K58" s="468"/>
    </row>
    <row r="59" spans="1:11" ht="12.75" customHeight="1" x14ac:dyDescent="0.2">
      <c r="A59" s="1494" t="s">
        <v>878</v>
      </c>
      <c r="B59" s="557">
        <v>1451</v>
      </c>
      <c r="C59" s="468"/>
      <c r="D59" s="468"/>
      <c r="E59" s="468"/>
      <c r="F59" s="466"/>
      <c r="G59" s="468"/>
      <c r="H59" s="468"/>
      <c r="I59" s="468"/>
      <c r="J59" s="468"/>
      <c r="K59" s="468"/>
    </row>
    <row r="60" spans="1:11" ht="12.75" customHeight="1" x14ac:dyDescent="0.2">
      <c r="A60" s="1494"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5"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0</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0</v>
      </c>
      <c r="D67" s="1686">
        <f t="shared" ref="D67:K67" si="2">SUM(D65:D66)</f>
        <v>0</v>
      </c>
      <c r="E67" s="1686">
        <f t="shared" si="2"/>
        <v>0</v>
      </c>
      <c r="F67" s="1686">
        <f t="shared" si="2"/>
        <v>0</v>
      </c>
      <c r="G67" s="1686">
        <f t="shared" si="2"/>
        <v>0</v>
      </c>
      <c r="H67" s="1686">
        <f t="shared" si="2"/>
        <v>0</v>
      </c>
      <c r="I67" s="1686">
        <f t="shared" si="2"/>
        <v>0</v>
      </c>
      <c r="J67" s="1686">
        <f t="shared" si="2"/>
        <v>0</v>
      </c>
      <c r="K67" s="1686">
        <f t="shared" si="2"/>
        <v>0</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6" t="s">
        <v>548</v>
      </c>
      <c r="B75" s="1707"/>
      <c r="C75" s="1686">
        <f>SUM(C69:C74)</f>
        <v>0</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0</v>
      </c>
      <c r="D82" s="1686">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0</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3" t="s">
        <v>244</v>
      </c>
      <c r="B97" s="559">
        <v>1930</v>
      </c>
      <c r="C97" s="489"/>
      <c r="D97" s="467"/>
      <c r="E97" s="474"/>
      <c r="F97" s="467"/>
      <c r="G97" s="467"/>
      <c r="H97" s="467"/>
      <c r="I97" s="467"/>
      <c r="J97" s="467"/>
      <c r="K97" s="467"/>
    </row>
    <row r="98" spans="1:12" ht="12.75" customHeight="1" x14ac:dyDescent="0.2">
      <c r="A98" s="463" t="s">
        <v>189</v>
      </c>
      <c r="B98" s="470">
        <v>1940</v>
      </c>
      <c r="C98" s="489">
        <v>824145</v>
      </c>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16698</v>
      </c>
      <c r="D107" s="466"/>
      <c r="E107" s="466"/>
      <c r="F107" s="466"/>
      <c r="G107" s="466"/>
      <c r="H107" s="466"/>
      <c r="I107" s="466"/>
      <c r="J107" s="467"/>
      <c r="K107" s="466"/>
    </row>
    <row r="108" spans="1:12" ht="12.75" customHeight="1" thickBot="1" x14ac:dyDescent="0.25">
      <c r="A108" s="1706" t="s">
        <v>487</v>
      </c>
      <c r="B108" s="1710"/>
      <c r="C108" s="1705">
        <f>SUM(C95:C107)</f>
        <v>840843</v>
      </c>
      <c r="D108" s="1705">
        <f t="shared" ref="D108:K108" si="3">SUM(D95:D107)</f>
        <v>0</v>
      </c>
      <c r="E108" s="1705">
        <f t="shared" si="3"/>
        <v>0</v>
      </c>
      <c r="F108" s="1705">
        <f t="shared" si="3"/>
        <v>0</v>
      </c>
      <c r="G108" s="1705">
        <f t="shared" si="3"/>
        <v>0</v>
      </c>
      <c r="H108" s="1705">
        <f t="shared" si="3"/>
        <v>0</v>
      </c>
      <c r="I108" s="1705">
        <f t="shared" si="3"/>
        <v>0</v>
      </c>
      <c r="J108" s="1705">
        <f t="shared" si="3"/>
        <v>0</v>
      </c>
      <c r="K108" s="1686">
        <f t="shared" si="3"/>
        <v>0</v>
      </c>
    </row>
    <row r="109" spans="1:12" ht="14.25" thickTop="1" thickBot="1" x14ac:dyDescent="0.25">
      <c r="A109" s="1711" t="s">
        <v>248</v>
      </c>
      <c r="B109" s="1712" t="s">
        <v>570</v>
      </c>
      <c r="C109" s="1713">
        <f t="shared" ref="C109:K109" si="4">SUM(C12,C18,C40,C63,C67,C75,C82,C93,C108,)</f>
        <v>7972592</v>
      </c>
      <c r="D109" s="1713">
        <f t="shared" si="4"/>
        <v>0</v>
      </c>
      <c r="E109" s="1713">
        <f t="shared" si="4"/>
        <v>0</v>
      </c>
      <c r="F109" s="1713">
        <f t="shared" si="4"/>
        <v>0</v>
      </c>
      <c r="G109" s="1713">
        <f t="shared" si="4"/>
        <v>0</v>
      </c>
      <c r="H109" s="1713">
        <f t="shared" si="4"/>
        <v>0</v>
      </c>
      <c r="I109" s="1713">
        <f t="shared" si="4"/>
        <v>0</v>
      </c>
      <c r="J109" s="1713">
        <f t="shared" si="4"/>
        <v>0</v>
      </c>
      <c r="K109" s="1700">
        <f t="shared" si="4"/>
        <v>0</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v>171327</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171327</v>
      </c>
      <c r="D114" s="1716">
        <f>SUM(D111:D113)</f>
        <v>0</v>
      </c>
      <c r="E114" s="561" t="s">
        <v>1169</v>
      </c>
      <c r="F114" s="1716">
        <f>SUM(F111:F113)</f>
        <v>0</v>
      </c>
      <c r="G114" s="1716">
        <f>SUM(G111:G113)</f>
        <v>0</v>
      </c>
      <c r="H114" s="561"/>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2"/>
      <c r="D116" s="521"/>
      <c r="E116" s="561"/>
      <c r="F116" s="521"/>
      <c r="G116" s="521"/>
      <c r="H116" s="561"/>
      <c r="I116" s="468"/>
      <c r="J116" s="521"/>
      <c r="K116" s="521"/>
    </row>
    <row r="117" spans="1:11" ht="12.75" customHeight="1" x14ac:dyDescent="0.2">
      <c r="A117" s="463" t="s">
        <v>1667</v>
      </c>
      <c r="B117" s="562">
        <v>3001</v>
      </c>
      <c r="C117" s="516">
        <v>891746</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28" t="s">
        <v>1931</v>
      </c>
      <c r="B120" s="562">
        <v>3030</v>
      </c>
      <c r="C120" s="551"/>
      <c r="D120" s="466"/>
      <c r="E120" s="466"/>
      <c r="F120" s="466"/>
      <c r="G120" s="466"/>
      <c r="H120" s="466"/>
      <c r="I120" s="468"/>
      <c r="J120" s="467"/>
      <c r="K120" s="466"/>
    </row>
    <row r="121" spans="1:11" x14ac:dyDescent="0.2">
      <c r="A121" s="1494" t="s">
        <v>1798</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891746</v>
      </c>
      <c r="D122" s="1705">
        <f t="shared" si="5"/>
        <v>0</v>
      </c>
      <c r="E122" s="1705">
        <f t="shared" si="5"/>
        <v>0</v>
      </c>
      <c r="F122" s="1705">
        <f t="shared" si="5"/>
        <v>0</v>
      </c>
      <c r="G122" s="1705">
        <f t="shared" si="5"/>
        <v>0</v>
      </c>
      <c r="H122" s="1705">
        <f t="shared" si="5"/>
        <v>0</v>
      </c>
      <c r="I122" s="468"/>
      <c r="J122" s="1705">
        <f>SUM(J117:J121)</f>
        <v>0</v>
      </c>
      <c r="K122" s="1686">
        <f>SUM(K117:K121)</f>
        <v>0</v>
      </c>
    </row>
    <row r="123" spans="1:11" ht="15.75" customHeight="1" thickTop="1" x14ac:dyDescent="0.2">
      <c r="A123" s="1590" t="s">
        <v>1490</v>
      </c>
      <c r="B123" s="1595"/>
      <c r="C123" s="565"/>
      <c r="D123" s="509"/>
      <c r="E123" s="468"/>
      <c r="F123" s="566"/>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0</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0</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598" t="s">
        <v>670</v>
      </c>
      <c r="B142" s="1599"/>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6" t="s">
        <v>1056</v>
      </c>
      <c r="B146" s="568">
        <v>3360</v>
      </c>
      <c r="C146" s="569"/>
      <c r="D146" s="570"/>
      <c r="E146" s="509"/>
      <c r="F146" s="468"/>
      <c r="G146" s="571"/>
      <c r="H146" s="468"/>
      <c r="I146" s="468"/>
      <c r="J146" s="468"/>
      <c r="K146" s="468"/>
    </row>
    <row r="147" spans="1:11" ht="12.75" customHeight="1" thickBot="1" x14ac:dyDescent="0.25">
      <c r="A147" s="1497" t="s">
        <v>922</v>
      </c>
      <c r="B147" s="572">
        <v>3365</v>
      </c>
      <c r="C147" s="573"/>
      <c r="D147" s="532"/>
      <c r="E147" s="561"/>
      <c r="F147" s="468"/>
      <c r="G147" s="532"/>
      <c r="H147" s="468"/>
      <c r="I147" s="468"/>
      <c r="J147" s="468"/>
      <c r="K147" s="468"/>
    </row>
    <row r="148" spans="1:11" ht="12.75" customHeight="1" thickTop="1" thickBot="1" x14ac:dyDescent="0.25">
      <c r="A148" s="1498" t="s">
        <v>138</v>
      </c>
      <c r="B148" s="574">
        <v>3370</v>
      </c>
      <c r="C148" s="573"/>
      <c r="D148" s="573"/>
      <c r="E148" s="509"/>
      <c r="F148" s="468"/>
      <c r="G148" s="468"/>
      <c r="H148" s="468"/>
      <c r="I148" s="468"/>
      <c r="J148" s="468"/>
      <c r="K148" s="468"/>
    </row>
    <row r="149" spans="1:11" ht="12.75" customHeight="1" thickTop="1" thickBot="1" x14ac:dyDescent="0.25">
      <c r="A149" s="1498" t="s">
        <v>767</v>
      </c>
      <c r="B149" s="574">
        <v>3410</v>
      </c>
      <c r="C149" s="575"/>
      <c r="D149" s="576"/>
      <c r="E149" s="577"/>
      <c r="F149" s="530"/>
      <c r="G149" s="530"/>
      <c r="H149" s="530"/>
      <c r="I149" s="530"/>
      <c r="J149" s="530"/>
      <c r="K149" s="530"/>
    </row>
    <row r="150" spans="1:11" ht="12.75" customHeight="1" thickTop="1" thickBot="1" x14ac:dyDescent="0.25">
      <c r="A150" s="1498" t="s">
        <v>68</v>
      </c>
      <c r="B150" s="574">
        <v>3499</v>
      </c>
      <c r="C150" s="575"/>
      <c r="D150" s="576"/>
      <c r="E150" s="532"/>
      <c r="F150" s="532"/>
      <c r="G150" s="532"/>
      <c r="H150" s="532"/>
      <c r="I150" s="532"/>
      <c r="J150" s="532"/>
      <c r="K150" s="532"/>
    </row>
    <row r="151" spans="1:11" ht="15.75" customHeight="1" thickTop="1" x14ac:dyDescent="0.2">
      <c r="A151" s="1598" t="s">
        <v>453</v>
      </c>
      <c r="B151" s="1600"/>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v>17769</v>
      </c>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17769</v>
      </c>
      <c r="D155" s="1705">
        <f>SUM(D152:D154)</f>
        <v>0</v>
      </c>
      <c r="E155" s="561"/>
      <c r="F155" s="1705">
        <f>SUM(F152:F154)</f>
        <v>0</v>
      </c>
      <c r="G155" s="1705">
        <f>SUM(G152:G154)</f>
        <v>0</v>
      </c>
      <c r="H155" s="468"/>
      <c r="I155" s="468"/>
      <c r="J155" s="468"/>
      <c r="K155" s="468"/>
    </row>
    <row r="156" spans="1:11" ht="12.75" customHeight="1" thickTop="1" thickBot="1" x14ac:dyDescent="0.25">
      <c r="A156" s="1498" t="s">
        <v>380</v>
      </c>
      <c r="B156" s="574">
        <v>3610</v>
      </c>
      <c r="C156" s="576"/>
      <c r="D156" s="468"/>
      <c r="E156" s="509"/>
      <c r="F156" s="468"/>
      <c r="G156" s="468"/>
      <c r="H156" s="468"/>
      <c r="I156" s="468"/>
      <c r="J156" s="468"/>
      <c r="K156" s="468"/>
    </row>
    <row r="157" spans="1:11" ht="12.75" customHeight="1" thickTop="1" thickBot="1" x14ac:dyDescent="0.25">
      <c r="A157" s="1498" t="s">
        <v>50</v>
      </c>
      <c r="B157" s="574">
        <v>3660</v>
      </c>
      <c r="C157" s="573"/>
      <c r="D157" s="578"/>
      <c r="E157" s="561"/>
      <c r="F157" s="578"/>
      <c r="G157" s="578"/>
      <c r="H157" s="468"/>
      <c r="I157" s="468"/>
      <c r="J157" s="468"/>
      <c r="K157" s="468"/>
    </row>
    <row r="158" spans="1:11" ht="12.75" customHeight="1" thickTop="1" thickBot="1" x14ac:dyDescent="0.25">
      <c r="A158" s="1498" t="s">
        <v>1000</v>
      </c>
      <c r="B158" s="574">
        <v>3695</v>
      </c>
      <c r="C158" s="576"/>
      <c r="D158" s="468"/>
      <c r="E158" s="561"/>
      <c r="F158" s="576"/>
      <c r="G158" s="576"/>
      <c r="H158" s="468"/>
      <c r="I158" s="468"/>
      <c r="J158" s="468"/>
      <c r="K158" s="468"/>
    </row>
    <row r="159" spans="1:11" ht="12.75" customHeight="1" thickTop="1" thickBot="1" x14ac:dyDescent="0.25">
      <c r="A159" s="1498" t="s">
        <v>1051</v>
      </c>
      <c r="B159" s="574">
        <v>3705</v>
      </c>
      <c r="C159" s="576"/>
      <c r="D159" s="578"/>
      <c r="E159" s="561"/>
      <c r="F159" s="576"/>
      <c r="G159" s="576"/>
      <c r="H159" s="468"/>
      <c r="I159" s="468"/>
      <c r="J159" s="468"/>
      <c r="K159" s="468"/>
    </row>
    <row r="160" spans="1:11" ht="12.75" customHeight="1" thickTop="1" thickBot="1" x14ac:dyDescent="0.25">
      <c r="A160" s="1498" t="s">
        <v>39</v>
      </c>
      <c r="B160" s="574">
        <v>3766</v>
      </c>
      <c r="C160" s="576"/>
      <c r="D160" s="578"/>
      <c r="E160" s="561"/>
      <c r="F160" s="576"/>
      <c r="G160" s="531"/>
      <c r="H160" s="468"/>
      <c r="I160" s="468"/>
      <c r="J160" s="468"/>
      <c r="K160" s="468"/>
    </row>
    <row r="161" spans="1:11" ht="12.75" customHeight="1" thickTop="1" thickBot="1" x14ac:dyDescent="0.25">
      <c r="A161" s="1498" t="s">
        <v>985</v>
      </c>
      <c r="B161" s="574">
        <v>3767</v>
      </c>
      <c r="C161" s="576"/>
      <c r="D161" s="531"/>
      <c r="E161" s="561"/>
      <c r="F161" s="531"/>
      <c r="G161" s="531"/>
      <c r="H161" s="468"/>
      <c r="I161" s="468"/>
      <c r="J161" s="468"/>
      <c r="K161" s="468"/>
    </row>
    <row r="162" spans="1:11" ht="12.75" customHeight="1" thickTop="1" thickBot="1" x14ac:dyDescent="0.25">
      <c r="A162" s="1498" t="s">
        <v>986</v>
      </c>
      <c r="B162" s="574">
        <v>3775</v>
      </c>
      <c r="C162" s="576"/>
      <c r="D162" s="573"/>
      <c r="E162" s="530"/>
      <c r="F162" s="573"/>
      <c r="G162" s="532"/>
      <c r="H162" s="530"/>
      <c r="I162" s="468"/>
      <c r="J162" s="468"/>
      <c r="K162" s="530"/>
    </row>
    <row r="163" spans="1:11" ht="12.75" customHeight="1" thickTop="1" thickBot="1" x14ac:dyDescent="0.25">
      <c r="A163" s="1498" t="s">
        <v>1449</v>
      </c>
      <c r="B163" s="574">
        <v>3780</v>
      </c>
      <c r="C163" s="531"/>
      <c r="D163" s="530"/>
      <c r="E163" s="531"/>
      <c r="F163" s="531"/>
      <c r="G163" s="531"/>
      <c r="H163" s="531"/>
      <c r="I163" s="468"/>
      <c r="J163" s="468"/>
      <c r="K163" s="531"/>
    </row>
    <row r="164" spans="1:11" ht="12.75" customHeight="1" thickTop="1" thickBot="1" x14ac:dyDescent="0.25">
      <c r="A164" s="1498" t="s">
        <v>858</v>
      </c>
      <c r="B164" s="574">
        <v>3815</v>
      </c>
      <c r="C164" s="576"/>
      <c r="D164" s="468"/>
      <c r="E164" s="561"/>
      <c r="F164" s="576"/>
      <c r="G164" s="468"/>
      <c r="H164" s="468"/>
      <c r="I164" s="468"/>
      <c r="J164" s="468"/>
      <c r="K164" s="468"/>
    </row>
    <row r="165" spans="1:11" ht="12.75" customHeight="1" thickTop="1" thickBot="1" x14ac:dyDescent="0.25">
      <c r="A165" s="1498" t="s">
        <v>397</v>
      </c>
      <c r="B165" s="574">
        <v>3825</v>
      </c>
      <c r="C165" s="576"/>
      <c r="D165" s="468"/>
      <c r="E165" s="561"/>
      <c r="F165" s="576"/>
      <c r="G165" s="468"/>
      <c r="H165" s="468"/>
      <c r="I165" s="468"/>
      <c r="J165" s="468"/>
      <c r="K165" s="468"/>
    </row>
    <row r="166" spans="1:11" ht="12.75" customHeight="1" thickTop="1" thickBot="1" x14ac:dyDescent="0.25">
      <c r="A166" s="1498" t="s">
        <v>348</v>
      </c>
      <c r="B166" s="574">
        <v>3920</v>
      </c>
      <c r="C166" s="566"/>
      <c r="D166" s="578"/>
      <c r="E166" s="468"/>
      <c r="F166" s="566"/>
      <c r="G166" s="468"/>
      <c r="H166" s="530"/>
      <c r="I166" s="468"/>
      <c r="J166" s="468"/>
      <c r="K166" s="468"/>
    </row>
    <row r="167" spans="1:11" ht="12.75" customHeight="1" thickTop="1" thickBot="1" x14ac:dyDescent="0.25">
      <c r="A167" s="1498" t="s">
        <v>349</v>
      </c>
      <c r="B167" s="574">
        <v>3925</v>
      </c>
      <c r="C167" s="521"/>
      <c r="D167" s="576"/>
      <c r="E167" s="521"/>
      <c r="F167" s="521"/>
      <c r="G167" s="468"/>
      <c r="H167" s="531"/>
      <c r="I167" s="468"/>
      <c r="J167" s="468"/>
      <c r="K167" s="530"/>
    </row>
    <row r="168" spans="1:11" ht="14.25" thickTop="1" thickBot="1" x14ac:dyDescent="0.25">
      <c r="A168" s="1498" t="s">
        <v>70</v>
      </c>
      <c r="B168" s="574">
        <v>3999</v>
      </c>
      <c r="C168" s="579"/>
      <c r="D168" s="580"/>
      <c r="E168" s="580"/>
      <c r="F168" s="580"/>
      <c r="G168" s="581"/>
      <c r="H168" s="582"/>
      <c r="I168" s="581"/>
      <c r="J168" s="581"/>
      <c r="K168" s="582"/>
    </row>
    <row r="169" spans="1:11" ht="12.75" customHeight="1" thickTop="1" thickBot="1" x14ac:dyDescent="0.25">
      <c r="A169" s="2146" t="s">
        <v>398</v>
      </c>
      <c r="B169" s="2147"/>
      <c r="C169" s="1720">
        <f t="shared" ref="C169:K169" si="6">SUM(C132,C141,C145,C146:C150,C155,C156:C167,C168)</f>
        <v>17769</v>
      </c>
      <c r="D169" s="1720">
        <f t="shared" si="6"/>
        <v>0</v>
      </c>
      <c r="E169" s="1720">
        <f t="shared" si="6"/>
        <v>0</v>
      </c>
      <c r="F169" s="1720">
        <f t="shared" si="6"/>
        <v>0</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909515</v>
      </c>
      <c r="D170" s="1713">
        <f t="shared" si="7"/>
        <v>0</v>
      </c>
      <c r="E170" s="1713">
        <f t="shared" si="7"/>
        <v>0</v>
      </c>
      <c r="F170" s="1713">
        <f t="shared" si="7"/>
        <v>0</v>
      </c>
      <c r="G170" s="1713">
        <f t="shared" si="7"/>
        <v>0</v>
      </c>
      <c r="H170" s="1713">
        <f t="shared" si="7"/>
        <v>0</v>
      </c>
      <c r="I170" s="1713">
        <f t="shared" si="7"/>
        <v>0</v>
      </c>
      <c r="J170" s="1713">
        <f t="shared" si="7"/>
        <v>0</v>
      </c>
      <c r="K170" s="1700">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48" t="s">
        <v>1492</v>
      </c>
      <c r="B172" s="2149"/>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2" t="s">
        <v>1665</v>
      </c>
      <c r="B175" s="2153"/>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56" t="s">
        <v>1664</v>
      </c>
      <c r="B176" s="2157"/>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4" t="s">
        <v>785</v>
      </c>
      <c r="B181" s="2155"/>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50" t="s">
        <v>1800</v>
      </c>
      <c r="B182" s="2151"/>
      <c r="C182" s="584"/>
      <c r="D182" s="566"/>
      <c r="E182" s="509"/>
      <c r="F182" s="566"/>
      <c r="G182" s="566"/>
      <c r="H182" s="468"/>
      <c r="I182" s="468"/>
      <c r="J182" s="468"/>
      <c r="K182" s="468"/>
    </row>
    <row r="183" spans="1:11" ht="15.75" customHeight="1" x14ac:dyDescent="0.2">
      <c r="A183" s="1601" t="s">
        <v>1602</v>
      </c>
      <c r="B183" s="1602"/>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598" t="s">
        <v>455</v>
      </c>
      <c r="B189" s="1603"/>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0</v>
      </c>
      <c r="D198" s="468"/>
      <c r="E198" s="468"/>
      <c r="F198" s="468"/>
      <c r="G198" s="1686">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400</v>
      </c>
      <c r="B204" s="1707"/>
      <c r="C204" s="1705">
        <f>SUM(C200:C203)</f>
        <v>0</v>
      </c>
      <c r="D204" s="1705">
        <f>SUM(D200:D203)</f>
        <v>0</v>
      </c>
      <c r="E204" s="468"/>
      <c r="F204" s="1705">
        <f>SUM(F200:F203)</f>
        <v>0</v>
      </c>
      <c r="G204" s="1705">
        <f>SUM(G200:G203)</f>
        <v>0</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0</v>
      </c>
      <c r="D209" s="1705">
        <f>SUM(D206:D208)</f>
        <v>0</v>
      </c>
      <c r="E209" s="468" t="s">
        <v>1169</v>
      </c>
      <c r="F209" s="1705">
        <f>SUM(F206:F208)</f>
        <v>0</v>
      </c>
      <c r="G209" s="1705">
        <f>SUM(G206:G208)</f>
        <v>0</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v>50056</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2529050</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99"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2579106</v>
      </c>
      <c r="D217" s="1705">
        <f>SUM(D211:D216)</f>
        <v>0</v>
      </c>
      <c r="E217" s="468"/>
      <c r="F217" s="1705">
        <f>SUM(F211:F216)</f>
        <v>0</v>
      </c>
      <c r="G217" s="1705">
        <f>SUM(G211:G216)</f>
        <v>0</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1085</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0" t="s">
        <v>1421</v>
      </c>
      <c r="B253" s="588">
        <v>4901</v>
      </c>
      <c r="C253" s="589"/>
      <c r="D253" s="469"/>
      <c r="E253" s="468"/>
      <c r="F253" s="468"/>
      <c r="G253" s="468"/>
      <c r="H253" s="468"/>
      <c r="I253" s="468"/>
      <c r="J253" s="468"/>
      <c r="K253" s="468"/>
    </row>
    <row r="254" spans="1:11" ht="12.75" customHeight="1" thickTop="1" thickBot="1" x14ac:dyDescent="0.25">
      <c r="A254" s="1501"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8" t="s">
        <v>1932</v>
      </c>
      <c r="B261" s="470">
        <v>4981</v>
      </c>
      <c r="C261" s="575"/>
      <c r="D261" s="576"/>
      <c r="E261" s="468"/>
      <c r="F261" s="576"/>
      <c r="G261" s="576"/>
      <c r="H261" s="468"/>
      <c r="I261" s="468"/>
      <c r="J261" s="468"/>
      <c r="K261" s="468"/>
    </row>
    <row r="262" spans="1:11" ht="12.75" customHeight="1" thickTop="1" thickBot="1" x14ac:dyDescent="0.25">
      <c r="A262" s="1929"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56827</v>
      </c>
      <c r="D263" s="576"/>
      <c r="E263" s="468"/>
      <c r="F263" s="576"/>
      <c r="G263" s="576"/>
      <c r="H263" s="468"/>
      <c r="I263" s="468"/>
      <c r="J263" s="468"/>
      <c r="K263" s="468"/>
    </row>
    <row r="264" spans="1:11" ht="12.75" customHeight="1" thickTop="1" thickBot="1" x14ac:dyDescent="0.25">
      <c r="A264" s="463" t="s">
        <v>377</v>
      </c>
      <c r="B264" s="470">
        <v>4992</v>
      </c>
      <c r="C264" s="575">
        <v>349546</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2985479</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2985479</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12038913</v>
      </c>
      <c r="D268" s="1713">
        <f t="shared" si="12"/>
        <v>0</v>
      </c>
      <c r="E268" s="1713">
        <f t="shared" si="12"/>
        <v>0</v>
      </c>
      <c r="F268" s="1713">
        <f t="shared" si="12"/>
        <v>0</v>
      </c>
      <c r="G268" s="1713">
        <f t="shared" si="12"/>
        <v>0</v>
      </c>
      <c r="H268" s="1713">
        <f t="shared" si="12"/>
        <v>0</v>
      </c>
      <c r="I268" s="1713">
        <f t="shared" si="12"/>
        <v>0</v>
      </c>
      <c r="J268" s="1713">
        <f t="shared" si="12"/>
        <v>0</v>
      </c>
      <c r="K268" s="1700">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N368"/>
  <sheetViews>
    <sheetView showGridLines="0" defaultGridColor="0" colorId="8" zoomScale="90" zoomScaleNormal="90" workbookViewId="0">
      <pane ySplit="2" topLeftCell="A102" activePane="bottomLeft" state="frozen"/>
      <selection pane="bottomLeft" activeCell="H85" sqref="H85"/>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6"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6"/>
      <c r="D3" s="1546"/>
      <c r="E3" s="1546"/>
      <c r="F3" s="1546"/>
      <c r="G3" s="1546"/>
      <c r="H3" s="1546"/>
      <c r="I3" s="1546"/>
      <c r="J3" s="1546"/>
      <c r="K3" s="1547"/>
      <c r="L3" s="1548"/>
      <c r="M3" s="609"/>
      <c r="N3" s="609"/>
    </row>
    <row r="4" spans="1:14" s="259" customFormat="1" ht="15.75" customHeight="1" x14ac:dyDescent="0.2">
      <c r="A4" s="1604" t="s">
        <v>44</v>
      </c>
      <c r="B4" s="1605" t="s">
        <v>570</v>
      </c>
      <c r="C4" s="610"/>
      <c r="D4" s="610"/>
      <c r="E4" s="610"/>
      <c r="F4" s="610"/>
      <c r="G4" s="610"/>
      <c r="H4" s="610"/>
      <c r="I4" s="611"/>
      <c r="J4" s="610"/>
      <c r="K4" s="612"/>
      <c r="L4" s="610"/>
      <c r="M4" s="613"/>
      <c r="N4" s="613"/>
    </row>
    <row r="5" spans="1:14" x14ac:dyDescent="0.2">
      <c r="A5" s="1502" t="s">
        <v>961</v>
      </c>
      <c r="B5" s="614">
        <v>1100</v>
      </c>
      <c r="C5" s="466"/>
      <c r="D5" s="466"/>
      <c r="E5" s="466"/>
      <c r="F5" s="466"/>
      <c r="G5" s="466"/>
      <c r="H5" s="466"/>
      <c r="I5" s="467"/>
      <c r="J5" s="467"/>
      <c r="K5" s="1669">
        <f>SUM(C5:J5)</f>
        <v>0</v>
      </c>
      <c r="L5" s="466">
        <v>6364407</v>
      </c>
    </row>
    <row r="6" spans="1:14" x14ac:dyDescent="0.2">
      <c r="A6" s="1502" t="s">
        <v>1433</v>
      </c>
      <c r="B6" s="614" t="s">
        <v>1431</v>
      </c>
      <c r="C6" s="477"/>
      <c r="D6" s="477"/>
      <c r="E6" s="466"/>
      <c r="F6" s="477"/>
      <c r="G6" s="477"/>
      <c r="H6" s="477"/>
      <c r="I6" s="477"/>
      <c r="J6" s="477"/>
      <c r="K6" s="1669">
        <f>SUM(C6,E6)</f>
        <v>0</v>
      </c>
      <c r="L6" s="466"/>
    </row>
    <row r="7" spans="1:14" x14ac:dyDescent="0.2">
      <c r="A7" s="1502" t="s">
        <v>163</v>
      </c>
      <c r="B7" s="614" t="s">
        <v>967</v>
      </c>
      <c r="C7" s="467"/>
      <c r="D7" s="467"/>
      <c r="E7" s="467"/>
      <c r="F7" s="467"/>
      <c r="G7" s="467"/>
      <c r="H7" s="467"/>
      <c r="I7" s="467"/>
      <c r="J7" s="467"/>
      <c r="K7" s="1669">
        <f t="shared" ref="K7:K32" si="0">SUM(C7:J7)</f>
        <v>0</v>
      </c>
      <c r="L7" s="466"/>
    </row>
    <row r="8" spans="1:14" x14ac:dyDescent="0.2">
      <c r="A8" s="1502" t="s">
        <v>164</v>
      </c>
      <c r="B8" s="614">
        <v>1200</v>
      </c>
      <c r="C8" s="466">
        <v>4755473</v>
      </c>
      <c r="D8" s="466">
        <v>1699818</v>
      </c>
      <c r="E8" s="466">
        <v>107811</v>
      </c>
      <c r="F8" s="466">
        <v>88882</v>
      </c>
      <c r="G8" s="466">
        <v>38738</v>
      </c>
      <c r="H8" s="466"/>
      <c r="I8" s="467"/>
      <c r="J8" s="467"/>
      <c r="K8" s="1669">
        <f t="shared" si="0"/>
        <v>6690722</v>
      </c>
      <c r="L8" s="466"/>
    </row>
    <row r="9" spans="1:14" x14ac:dyDescent="0.2">
      <c r="A9" s="1502" t="s">
        <v>721</v>
      </c>
      <c r="B9" s="614" t="s">
        <v>968</v>
      </c>
      <c r="C9" s="467"/>
      <c r="D9" s="467"/>
      <c r="E9" s="467"/>
      <c r="F9" s="467"/>
      <c r="G9" s="467"/>
      <c r="H9" s="467"/>
      <c r="I9" s="467"/>
      <c r="J9" s="467"/>
      <c r="K9" s="1669">
        <f t="shared" si="0"/>
        <v>0</v>
      </c>
      <c r="L9" s="466"/>
    </row>
    <row r="10" spans="1:14" x14ac:dyDescent="0.2">
      <c r="A10" s="1502" t="s">
        <v>722</v>
      </c>
      <c r="B10" s="614">
        <v>1250</v>
      </c>
      <c r="C10" s="466">
        <v>103970</v>
      </c>
      <c r="D10" s="466">
        <v>29203</v>
      </c>
      <c r="E10" s="466">
        <v>6225</v>
      </c>
      <c r="F10" s="466">
        <v>1965</v>
      </c>
      <c r="G10" s="466"/>
      <c r="H10" s="466"/>
      <c r="I10" s="467"/>
      <c r="J10" s="467"/>
      <c r="K10" s="1669">
        <f t="shared" si="0"/>
        <v>141363</v>
      </c>
      <c r="L10" s="466">
        <v>142655</v>
      </c>
    </row>
    <row r="11" spans="1:14" x14ac:dyDescent="0.2">
      <c r="A11" s="1502" t="s">
        <v>1130</v>
      </c>
      <c r="B11" s="614" t="s">
        <v>161</v>
      </c>
      <c r="C11" s="467"/>
      <c r="D11" s="467"/>
      <c r="E11" s="467"/>
      <c r="F11" s="467"/>
      <c r="G11" s="467"/>
      <c r="H11" s="467"/>
      <c r="I11" s="467"/>
      <c r="J11" s="467"/>
      <c r="K11" s="1669">
        <f t="shared" si="0"/>
        <v>0</v>
      </c>
      <c r="L11" s="466"/>
    </row>
    <row r="12" spans="1:14" x14ac:dyDescent="0.2">
      <c r="A12" s="1502" t="s">
        <v>962</v>
      </c>
      <c r="B12" s="614">
        <v>1300</v>
      </c>
      <c r="C12" s="466"/>
      <c r="D12" s="466"/>
      <c r="E12" s="466"/>
      <c r="F12" s="466"/>
      <c r="G12" s="466"/>
      <c r="H12" s="466"/>
      <c r="I12" s="467"/>
      <c r="J12" s="467"/>
      <c r="K12" s="1669">
        <f t="shared" si="0"/>
        <v>0</v>
      </c>
      <c r="L12" s="466"/>
    </row>
    <row r="13" spans="1:14" x14ac:dyDescent="0.2">
      <c r="A13" s="1502" t="s">
        <v>723</v>
      </c>
      <c r="B13" s="614">
        <v>1400</v>
      </c>
      <c r="C13" s="466">
        <v>21706</v>
      </c>
      <c r="D13" s="466">
        <v>6697</v>
      </c>
      <c r="E13" s="466">
        <v>86</v>
      </c>
      <c r="F13" s="466"/>
      <c r="G13" s="466"/>
      <c r="H13" s="466"/>
      <c r="I13" s="467"/>
      <c r="J13" s="467"/>
      <c r="K13" s="1669">
        <f t="shared" si="0"/>
        <v>28489</v>
      </c>
      <c r="L13" s="466">
        <v>25542</v>
      </c>
    </row>
    <row r="14" spans="1:14" x14ac:dyDescent="0.2">
      <c r="A14" s="1502" t="s">
        <v>963</v>
      </c>
      <c r="B14" s="614">
        <v>1500</v>
      </c>
      <c r="C14" s="466"/>
      <c r="D14" s="466"/>
      <c r="E14" s="466"/>
      <c r="F14" s="466"/>
      <c r="G14" s="466"/>
      <c r="H14" s="466"/>
      <c r="I14" s="467"/>
      <c r="J14" s="467"/>
      <c r="K14" s="1669">
        <f t="shared" si="0"/>
        <v>0</v>
      </c>
      <c r="L14" s="466"/>
    </row>
    <row r="15" spans="1:14" x14ac:dyDescent="0.2">
      <c r="A15" s="1502" t="s">
        <v>964</v>
      </c>
      <c r="B15" s="614">
        <v>1600</v>
      </c>
      <c r="C15" s="466"/>
      <c r="D15" s="466"/>
      <c r="E15" s="466"/>
      <c r="F15" s="466"/>
      <c r="G15" s="466"/>
      <c r="H15" s="466"/>
      <c r="I15" s="467"/>
      <c r="J15" s="467"/>
      <c r="K15" s="1669">
        <f t="shared" si="0"/>
        <v>0</v>
      </c>
      <c r="L15" s="466"/>
    </row>
    <row r="16" spans="1:14" x14ac:dyDescent="0.2">
      <c r="A16" s="1502" t="s">
        <v>987</v>
      </c>
      <c r="B16" s="614" t="s">
        <v>424</v>
      </c>
      <c r="C16" s="466"/>
      <c r="D16" s="466"/>
      <c r="E16" s="466"/>
      <c r="F16" s="466"/>
      <c r="G16" s="466"/>
      <c r="H16" s="466"/>
      <c r="I16" s="467"/>
      <c r="J16" s="467"/>
      <c r="K16" s="1669">
        <f t="shared" si="0"/>
        <v>0</v>
      </c>
      <c r="L16" s="466"/>
    </row>
    <row r="17" spans="1:12" x14ac:dyDescent="0.2">
      <c r="A17" s="1502" t="s">
        <v>724</v>
      </c>
      <c r="B17" s="614" t="s">
        <v>162</v>
      </c>
      <c r="C17" s="467"/>
      <c r="D17" s="467"/>
      <c r="E17" s="467"/>
      <c r="F17" s="467"/>
      <c r="G17" s="467"/>
      <c r="H17" s="467"/>
      <c r="I17" s="467"/>
      <c r="J17" s="467"/>
      <c r="K17" s="1669">
        <f t="shared" si="0"/>
        <v>0</v>
      </c>
      <c r="L17" s="466"/>
    </row>
    <row r="18" spans="1:12" x14ac:dyDescent="0.2">
      <c r="A18" s="1502" t="s">
        <v>1087</v>
      </c>
      <c r="B18" s="614">
        <v>1800</v>
      </c>
      <c r="C18" s="466"/>
      <c r="D18" s="466"/>
      <c r="E18" s="466"/>
      <c r="F18" s="466"/>
      <c r="G18" s="466"/>
      <c r="H18" s="466"/>
      <c r="I18" s="467"/>
      <c r="J18" s="467"/>
      <c r="K18" s="1669">
        <f t="shared" si="0"/>
        <v>0</v>
      </c>
      <c r="L18" s="466"/>
    </row>
    <row r="19" spans="1:12" x14ac:dyDescent="0.2">
      <c r="A19" s="1502" t="s">
        <v>134</v>
      </c>
      <c r="B19" s="614">
        <v>1900</v>
      </c>
      <c r="C19" s="466"/>
      <c r="D19" s="466"/>
      <c r="E19" s="466"/>
      <c r="F19" s="466"/>
      <c r="G19" s="466"/>
      <c r="H19" s="466"/>
      <c r="I19" s="467"/>
      <c r="J19" s="467"/>
      <c r="K19" s="1669">
        <f t="shared" si="0"/>
        <v>0</v>
      </c>
      <c r="L19" s="466"/>
    </row>
    <row r="20" spans="1:12" x14ac:dyDescent="0.2">
      <c r="A20" s="1503" t="s">
        <v>738</v>
      </c>
      <c r="B20" s="602" t="s">
        <v>725</v>
      </c>
      <c r="C20" s="477"/>
      <c r="D20" s="477"/>
      <c r="E20" s="477"/>
      <c r="F20" s="477"/>
      <c r="G20" s="477"/>
      <c r="H20" s="474"/>
      <c r="I20" s="616"/>
      <c r="J20" s="475"/>
      <c r="K20" s="1669">
        <f t="shared" si="0"/>
        <v>0</v>
      </c>
      <c r="L20" s="471"/>
    </row>
    <row r="21" spans="1:12" x14ac:dyDescent="0.2">
      <c r="A21" s="1503" t="s">
        <v>739</v>
      </c>
      <c r="B21" s="602" t="s">
        <v>726</v>
      </c>
      <c r="C21" s="477"/>
      <c r="D21" s="477"/>
      <c r="E21" s="477"/>
      <c r="F21" s="477"/>
      <c r="G21" s="477"/>
      <c r="H21" s="474"/>
      <c r="I21" s="616"/>
      <c r="J21" s="477"/>
      <c r="K21" s="1669">
        <f t="shared" si="0"/>
        <v>0</v>
      </c>
      <c r="L21" s="471"/>
    </row>
    <row r="22" spans="1:12" x14ac:dyDescent="0.2">
      <c r="A22" s="1503" t="s">
        <v>740</v>
      </c>
      <c r="B22" s="602" t="s">
        <v>727</v>
      </c>
      <c r="C22" s="477"/>
      <c r="D22" s="477"/>
      <c r="E22" s="477"/>
      <c r="F22" s="477"/>
      <c r="G22" s="477"/>
      <c r="H22" s="474"/>
      <c r="I22" s="616"/>
      <c r="J22" s="477"/>
      <c r="K22" s="1669">
        <f t="shared" si="0"/>
        <v>0</v>
      </c>
      <c r="L22" s="471"/>
    </row>
    <row r="23" spans="1:12" x14ac:dyDescent="0.2">
      <c r="A23" s="1503" t="s">
        <v>741</v>
      </c>
      <c r="B23" s="602" t="s">
        <v>728</v>
      </c>
      <c r="C23" s="477"/>
      <c r="D23" s="477"/>
      <c r="E23" s="477"/>
      <c r="F23" s="477"/>
      <c r="G23" s="477"/>
      <c r="H23" s="474"/>
      <c r="I23" s="616"/>
      <c r="J23" s="477"/>
      <c r="K23" s="1669">
        <f t="shared" si="0"/>
        <v>0</v>
      </c>
      <c r="L23" s="471"/>
    </row>
    <row r="24" spans="1:12" ht="12.75" customHeight="1" x14ac:dyDescent="0.2">
      <c r="A24" s="1503" t="s">
        <v>742</v>
      </c>
      <c r="B24" s="602" t="s">
        <v>729</v>
      </c>
      <c r="C24" s="477"/>
      <c r="D24" s="477"/>
      <c r="E24" s="477"/>
      <c r="F24" s="477"/>
      <c r="G24" s="477"/>
      <c r="H24" s="474"/>
      <c r="I24" s="616"/>
      <c r="J24" s="477"/>
      <c r="K24" s="1669">
        <f t="shared" si="0"/>
        <v>0</v>
      </c>
      <c r="L24" s="471"/>
    </row>
    <row r="25" spans="1:12" ht="12.75" customHeight="1" x14ac:dyDescent="0.2">
      <c r="A25" s="1503" t="s">
        <v>802</v>
      </c>
      <c r="B25" s="602" t="s">
        <v>730</v>
      </c>
      <c r="C25" s="477"/>
      <c r="D25" s="477"/>
      <c r="E25" s="477"/>
      <c r="F25" s="477"/>
      <c r="G25" s="477"/>
      <c r="H25" s="474"/>
      <c r="I25" s="616"/>
      <c r="J25" s="477"/>
      <c r="K25" s="1669">
        <f t="shared" si="0"/>
        <v>0</v>
      </c>
      <c r="L25" s="471"/>
    </row>
    <row r="26" spans="1:12" x14ac:dyDescent="0.2">
      <c r="A26" s="1503" t="s">
        <v>622</v>
      </c>
      <c r="B26" s="602" t="s">
        <v>731</v>
      </c>
      <c r="C26" s="477"/>
      <c r="D26" s="477"/>
      <c r="E26" s="477"/>
      <c r="F26" s="477"/>
      <c r="G26" s="477"/>
      <c r="H26" s="474"/>
      <c r="I26" s="616"/>
      <c r="J26" s="477"/>
      <c r="K26" s="1669">
        <f t="shared" si="0"/>
        <v>0</v>
      </c>
      <c r="L26" s="471"/>
    </row>
    <row r="27" spans="1:12" x14ac:dyDescent="0.2">
      <c r="A27" s="1503" t="s">
        <v>623</v>
      </c>
      <c r="B27" s="602" t="s">
        <v>732</v>
      </c>
      <c r="C27" s="477"/>
      <c r="D27" s="477"/>
      <c r="E27" s="477"/>
      <c r="F27" s="477"/>
      <c r="G27" s="477"/>
      <c r="H27" s="474"/>
      <c r="I27" s="616"/>
      <c r="J27" s="477"/>
      <c r="K27" s="1669">
        <f t="shared" si="0"/>
        <v>0</v>
      </c>
      <c r="L27" s="471"/>
    </row>
    <row r="28" spans="1:12" x14ac:dyDescent="0.2">
      <c r="A28" s="1503" t="s">
        <v>150</v>
      </c>
      <c r="B28" s="602" t="s">
        <v>733</v>
      </c>
      <c r="C28" s="477"/>
      <c r="D28" s="477"/>
      <c r="E28" s="477"/>
      <c r="F28" s="477"/>
      <c r="G28" s="477"/>
      <c r="H28" s="474"/>
      <c r="I28" s="616"/>
      <c r="J28" s="477"/>
      <c r="K28" s="1669">
        <f t="shared" si="0"/>
        <v>0</v>
      </c>
      <c r="L28" s="471"/>
    </row>
    <row r="29" spans="1:12" x14ac:dyDescent="0.2">
      <c r="A29" s="1503" t="s">
        <v>151</v>
      </c>
      <c r="B29" s="602" t="s">
        <v>734</v>
      </c>
      <c r="C29" s="477"/>
      <c r="D29" s="477"/>
      <c r="E29" s="477"/>
      <c r="F29" s="477"/>
      <c r="G29" s="477"/>
      <c r="H29" s="474"/>
      <c r="I29" s="616"/>
      <c r="J29" s="477"/>
      <c r="K29" s="1669">
        <f t="shared" si="0"/>
        <v>0</v>
      </c>
      <c r="L29" s="471"/>
    </row>
    <row r="30" spans="1:12" x14ac:dyDescent="0.2">
      <c r="A30" s="1503" t="s">
        <v>152</v>
      </c>
      <c r="B30" s="602" t="s">
        <v>735</v>
      </c>
      <c r="C30" s="477"/>
      <c r="D30" s="477"/>
      <c r="E30" s="477"/>
      <c r="F30" s="477"/>
      <c r="G30" s="477"/>
      <c r="H30" s="474"/>
      <c r="I30" s="616"/>
      <c r="J30" s="477"/>
      <c r="K30" s="1669">
        <f t="shared" si="0"/>
        <v>0</v>
      </c>
      <c r="L30" s="471"/>
    </row>
    <row r="31" spans="1:12" x14ac:dyDescent="0.2">
      <c r="A31" s="1503" t="s">
        <v>153</v>
      </c>
      <c r="B31" s="602" t="s">
        <v>736</v>
      </c>
      <c r="C31" s="477"/>
      <c r="D31" s="477"/>
      <c r="E31" s="477"/>
      <c r="F31" s="477"/>
      <c r="G31" s="477"/>
      <c r="H31" s="474"/>
      <c r="I31" s="616"/>
      <c r="J31" s="477"/>
      <c r="K31" s="1669">
        <f t="shared" si="0"/>
        <v>0</v>
      </c>
      <c r="L31" s="471"/>
    </row>
    <row r="32" spans="1:12" x14ac:dyDescent="0.2">
      <c r="A32" s="1504" t="s">
        <v>1129</v>
      </c>
      <c r="B32" s="614" t="s">
        <v>737</v>
      </c>
      <c r="C32" s="477"/>
      <c r="D32" s="477"/>
      <c r="E32" s="477"/>
      <c r="F32" s="477"/>
      <c r="G32" s="477"/>
      <c r="H32" s="474"/>
      <c r="I32" s="616"/>
      <c r="J32" s="480"/>
      <c r="K32" s="1669">
        <f t="shared" si="0"/>
        <v>0</v>
      </c>
      <c r="L32" s="471"/>
    </row>
    <row r="33" spans="1:14" ht="12.75" customHeight="1" thickBot="1" x14ac:dyDescent="0.25">
      <c r="A33" s="1666" t="s">
        <v>1668</v>
      </c>
      <c r="B33" s="1667" t="s">
        <v>570</v>
      </c>
      <c r="C33" s="1668">
        <f>SUM(C5:C32)</f>
        <v>4881149</v>
      </c>
      <c r="D33" s="1668">
        <f t="shared" ref="D33:L33" si="1">SUM(D5:D32)</f>
        <v>1735718</v>
      </c>
      <c r="E33" s="1668">
        <f t="shared" si="1"/>
        <v>114122</v>
      </c>
      <c r="F33" s="1668">
        <f t="shared" si="1"/>
        <v>90847</v>
      </c>
      <c r="G33" s="1668">
        <f t="shared" si="1"/>
        <v>38738</v>
      </c>
      <c r="H33" s="1668">
        <f t="shared" si="1"/>
        <v>0</v>
      </c>
      <c r="I33" s="1668">
        <f t="shared" si="1"/>
        <v>0</v>
      </c>
      <c r="J33" s="1668">
        <f t="shared" si="1"/>
        <v>0</v>
      </c>
      <c r="K33" s="1668">
        <f t="shared" si="1"/>
        <v>6860574</v>
      </c>
      <c r="L33" s="1668">
        <f t="shared" si="1"/>
        <v>6532604</v>
      </c>
    </row>
    <row r="34" spans="1:14" s="620" customFormat="1" ht="15.75" customHeight="1" thickTop="1" x14ac:dyDescent="0.2">
      <c r="A34" s="1606" t="s">
        <v>46</v>
      </c>
      <c r="B34" s="1607"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2" t="s">
        <v>1089</v>
      </c>
      <c r="B36" s="614">
        <v>2110</v>
      </c>
      <c r="C36" s="481">
        <v>82633</v>
      </c>
      <c r="D36" s="481">
        <v>28832</v>
      </c>
      <c r="E36" s="481">
        <v>4631</v>
      </c>
      <c r="F36" s="481">
        <v>2029</v>
      </c>
      <c r="G36" s="481"/>
      <c r="H36" s="481"/>
      <c r="I36" s="467"/>
      <c r="J36" s="467"/>
      <c r="K36" s="1669">
        <f t="shared" ref="K36:K41" si="2">SUM(C36:J36)</f>
        <v>118125</v>
      </c>
      <c r="L36" s="466">
        <v>148483</v>
      </c>
    </row>
    <row r="37" spans="1:14" x14ac:dyDescent="0.2">
      <c r="A37" s="1502" t="s">
        <v>1090</v>
      </c>
      <c r="B37" s="614">
        <v>2120</v>
      </c>
      <c r="C37" s="466"/>
      <c r="D37" s="466"/>
      <c r="E37" s="466"/>
      <c r="F37" s="466"/>
      <c r="G37" s="466"/>
      <c r="H37" s="466"/>
      <c r="I37" s="467"/>
      <c r="J37" s="467"/>
      <c r="K37" s="1669">
        <f t="shared" si="2"/>
        <v>0</v>
      </c>
      <c r="L37" s="466"/>
    </row>
    <row r="38" spans="1:14" x14ac:dyDescent="0.2">
      <c r="A38" s="1502" t="s">
        <v>198</v>
      </c>
      <c r="B38" s="614">
        <v>2130</v>
      </c>
      <c r="C38" s="466">
        <v>360990</v>
      </c>
      <c r="D38" s="466">
        <v>103662</v>
      </c>
      <c r="E38" s="466">
        <v>89723</v>
      </c>
      <c r="F38" s="466">
        <v>2972</v>
      </c>
      <c r="G38" s="466"/>
      <c r="H38" s="466"/>
      <c r="I38" s="467"/>
      <c r="J38" s="467"/>
      <c r="K38" s="1669">
        <f t="shared" si="2"/>
        <v>557347</v>
      </c>
      <c r="L38" s="466">
        <v>573461</v>
      </c>
    </row>
    <row r="39" spans="1:14" x14ac:dyDescent="0.2">
      <c r="A39" s="1502" t="s">
        <v>199</v>
      </c>
      <c r="B39" s="614">
        <v>2140</v>
      </c>
      <c r="C39" s="466">
        <v>163188</v>
      </c>
      <c r="D39" s="466">
        <v>34795</v>
      </c>
      <c r="E39" s="466">
        <v>3854</v>
      </c>
      <c r="F39" s="466">
        <v>386</v>
      </c>
      <c r="G39" s="466"/>
      <c r="H39" s="466"/>
      <c r="I39" s="467"/>
      <c r="J39" s="467"/>
      <c r="K39" s="1669">
        <f t="shared" si="2"/>
        <v>202223</v>
      </c>
      <c r="L39" s="466">
        <v>164914</v>
      </c>
    </row>
    <row r="40" spans="1:14" x14ac:dyDescent="0.2">
      <c r="A40" s="1502" t="s">
        <v>200</v>
      </c>
      <c r="B40" s="614">
        <v>2150</v>
      </c>
      <c r="C40" s="466">
        <v>346385</v>
      </c>
      <c r="D40" s="466">
        <v>93608</v>
      </c>
      <c r="E40" s="466">
        <v>4929</v>
      </c>
      <c r="F40" s="466">
        <v>3582</v>
      </c>
      <c r="G40" s="466"/>
      <c r="H40" s="466"/>
      <c r="I40" s="467"/>
      <c r="J40" s="467"/>
      <c r="K40" s="1669">
        <f t="shared" si="2"/>
        <v>448504</v>
      </c>
      <c r="L40" s="466">
        <v>508413</v>
      </c>
    </row>
    <row r="41" spans="1:14" x14ac:dyDescent="0.2">
      <c r="A41" s="1502" t="s">
        <v>1669</v>
      </c>
      <c r="B41" s="614">
        <v>2190</v>
      </c>
      <c r="C41" s="466"/>
      <c r="D41" s="466"/>
      <c r="E41" s="466"/>
      <c r="F41" s="466"/>
      <c r="G41" s="466"/>
      <c r="H41" s="466"/>
      <c r="I41" s="467"/>
      <c r="J41" s="467"/>
      <c r="K41" s="1669">
        <f t="shared" si="2"/>
        <v>0</v>
      </c>
      <c r="L41" s="466"/>
    </row>
    <row r="42" spans="1:14" ht="12.75" customHeight="1" thickBot="1" x14ac:dyDescent="0.25">
      <c r="A42" s="1666" t="s">
        <v>560</v>
      </c>
      <c r="B42" s="1667" t="s">
        <v>716</v>
      </c>
      <c r="C42" s="1668">
        <f>SUM(C36:C41)</f>
        <v>953196</v>
      </c>
      <c r="D42" s="1668">
        <f t="shared" ref="D42:L42" si="3">SUM(D36:D41)</f>
        <v>260897</v>
      </c>
      <c r="E42" s="1668">
        <f t="shared" si="3"/>
        <v>103137</v>
      </c>
      <c r="F42" s="1668">
        <f t="shared" si="3"/>
        <v>8969</v>
      </c>
      <c r="G42" s="1668">
        <f t="shared" si="3"/>
        <v>0</v>
      </c>
      <c r="H42" s="1668">
        <f t="shared" si="3"/>
        <v>0</v>
      </c>
      <c r="I42" s="1668">
        <f t="shared" si="3"/>
        <v>0</v>
      </c>
      <c r="J42" s="1668">
        <f t="shared" si="3"/>
        <v>0</v>
      </c>
      <c r="K42" s="1668">
        <f t="shared" si="3"/>
        <v>1326199</v>
      </c>
      <c r="L42" s="1668">
        <f t="shared" si="3"/>
        <v>1395271</v>
      </c>
    </row>
    <row r="43" spans="1:14" ht="15.75" customHeight="1" thickTop="1" x14ac:dyDescent="0.2">
      <c r="A43" s="624" t="s">
        <v>592</v>
      </c>
      <c r="B43" s="625"/>
      <c r="C43" s="626"/>
      <c r="D43" s="626"/>
      <c r="E43" s="626"/>
      <c r="F43" s="626"/>
      <c r="G43" s="626"/>
      <c r="H43" s="626"/>
      <c r="I43" s="616"/>
      <c r="J43" s="616"/>
      <c r="K43" s="626"/>
      <c r="L43" s="626"/>
    </row>
    <row r="44" spans="1:14" x14ac:dyDescent="0.2">
      <c r="A44" s="1502" t="s">
        <v>814</v>
      </c>
      <c r="B44" s="614">
        <v>2210</v>
      </c>
      <c r="C44" s="481">
        <v>54702</v>
      </c>
      <c r="D44" s="481">
        <v>8332</v>
      </c>
      <c r="E44" s="481">
        <v>62850</v>
      </c>
      <c r="F44" s="481">
        <v>6013</v>
      </c>
      <c r="G44" s="481"/>
      <c r="H44" s="481">
        <v>4480</v>
      </c>
      <c r="I44" s="467"/>
      <c r="J44" s="467"/>
      <c r="K44" s="1670">
        <f>SUM(C44:J44)</f>
        <v>136377</v>
      </c>
      <c r="L44" s="481">
        <v>119552</v>
      </c>
    </row>
    <row r="45" spans="1:14" x14ac:dyDescent="0.2">
      <c r="A45" s="1502" t="s">
        <v>815</v>
      </c>
      <c r="B45" s="614">
        <v>2220</v>
      </c>
      <c r="C45" s="466"/>
      <c r="D45" s="466"/>
      <c r="E45" s="466"/>
      <c r="F45" s="466"/>
      <c r="G45" s="466"/>
      <c r="H45" s="466"/>
      <c r="I45" s="467"/>
      <c r="J45" s="467"/>
      <c r="K45" s="1670">
        <f>SUM(C45:J45)</f>
        <v>0</v>
      </c>
      <c r="L45" s="466"/>
    </row>
    <row r="46" spans="1:14" x14ac:dyDescent="0.2">
      <c r="A46" s="1502" t="s">
        <v>816</v>
      </c>
      <c r="B46" s="614">
        <v>2230</v>
      </c>
      <c r="C46" s="466">
        <v>115319</v>
      </c>
      <c r="D46" s="466">
        <v>26785</v>
      </c>
      <c r="E46" s="466">
        <v>14949</v>
      </c>
      <c r="F46" s="466">
        <v>938</v>
      </c>
      <c r="G46" s="466"/>
      <c r="H46" s="466"/>
      <c r="I46" s="467"/>
      <c r="J46" s="467"/>
      <c r="K46" s="1670">
        <f>SUM(C46:J46)</f>
        <v>157991</v>
      </c>
      <c r="L46" s="466">
        <v>171552</v>
      </c>
    </row>
    <row r="47" spans="1:14" ht="12.75" customHeight="1" thickBot="1" x14ac:dyDescent="0.25">
      <c r="A47" s="1666" t="s">
        <v>561</v>
      </c>
      <c r="B47" s="1667" t="s">
        <v>32</v>
      </c>
      <c r="C47" s="1668">
        <f>SUM(C44:C46)</f>
        <v>170021</v>
      </c>
      <c r="D47" s="1668">
        <f t="shared" ref="D47:K47" si="4">SUM(D44:D46)</f>
        <v>35117</v>
      </c>
      <c r="E47" s="1668">
        <f t="shared" si="4"/>
        <v>77799</v>
      </c>
      <c r="F47" s="1668">
        <f t="shared" si="4"/>
        <v>6951</v>
      </c>
      <c r="G47" s="1668">
        <f t="shared" si="4"/>
        <v>0</v>
      </c>
      <c r="H47" s="1668">
        <f t="shared" si="4"/>
        <v>4480</v>
      </c>
      <c r="I47" s="1668">
        <f t="shared" si="4"/>
        <v>0</v>
      </c>
      <c r="J47" s="1668">
        <f t="shared" si="4"/>
        <v>0</v>
      </c>
      <c r="K47" s="1668">
        <f t="shared" si="4"/>
        <v>294368</v>
      </c>
      <c r="L47" s="1668">
        <f>SUM(L44:L46)</f>
        <v>291104</v>
      </c>
    </row>
    <row r="48" spans="1:14" ht="15.75" customHeight="1" thickTop="1" x14ac:dyDescent="0.2">
      <c r="A48" s="624" t="s">
        <v>610</v>
      </c>
      <c r="B48" s="625"/>
      <c r="C48" s="626"/>
      <c r="D48" s="626"/>
      <c r="E48" s="626"/>
      <c r="F48" s="626"/>
      <c r="G48" s="626"/>
      <c r="H48" s="626"/>
      <c r="I48" s="616"/>
      <c r="J48" s="616"/>
      <c r="K48" s="626"/>
      <c r="L48" s="626"/>
    </row>
    <row r="49" spans="1:14" x14ac:dyDescent="0.2">
      <c r="A49" s="1502" t="s">
        <v>817</v>
      </c>
      <c r="B49" s="614">
        <v>2310</v>
      </c>
      <c r="C49" s="481"/>
      <c r="D49" s="481"/>
      <c r="E49" s="481"/>
      <c r="F49" s="481"/>
      <c r="G49" s="481"/>
      <c r="H49" s="481"/>
      <c r="I49" s="467"/>
      <c r="J49" s="467"/>
      <c r="K49" s="1670">
        <f>SUM(C49:J49)</f>
        <v>0</v>
      </c>
      <c r="L49" s="481"/>
    </row>
    <row r="50" spans="1:14" x14ac:dyDescent="0.2">
      <c r="A50" s="1502" t="s">
        <v>818</v>
      </c>
      <c r="B50" s="614">
        <v>2320</v>
      </c>
      <c r="C50" s="466">
        <v>291504</v>
      </c>
      <c r="D50" s="466">
        <v>102220</v>
      </c>
      <c r="E50" s="466">
        <v>311286</v>
      </c>
      <c r="F50" s="466">
        <v>75223</v>
      </c>
      <c r="G50" s="466">
        <v>72942</v>
      </c>
      <c r="H50" s="466"/>
      <c r="I50" s="467"/>
      <c r="J50" s="467"/>
      <c r="K50" s="1670">
        <f>SUM(C50:J50)</f>
        <v>853175</v>
      </c>
      <c r="L50" s="466">
        <v>611317</v>
      </c>
    </row>
    <row r="51" spans="1:14" x14ac:dyDescent="0.2">
      <c r="A51" s="1502" t="s">
        <v>42</v>
      </c>
      <c r="B51" s="614">
        <v>2330</v>
      </c>
      <c r="C51" s="466"/>
      <c r="D51" s="466"/>
      <c r="E51" s="466"/>
      <c r="F51" s="466"/>
      <c r="G51" s="466"/>
      <c r="H51" s="466"/>
      <c r="I51" s="467"/>
      <c r="J51" s="467"/>
      <c r="K51" s="1670">
        <f>SUM(C51:J51)</f>
        <v>0</v>
      </c>
      <c r="L51" s="466"/>
    </row>
    <row r="52" spans="1:14" ht="22.5" x14ac:dyDescent="0.2">
      <c r="A52" s="1503" t="s">
        <v>298</v>
      </c>
      <c r="B52" s="627" t="s">
        <v>366</v>
      </c>
      <c r="C52" s="474"/>
      <c r="D52" s="474">
        <v>1767</v>
      </c>
      <c r="E52" s="474"/>
      <c r="F52" s="474"/>
      <c r="G52" s="474"/>
      <c r="H52" s="474"/>
      <c r="I52" s="474"/>
      <c r="J52" s="474"/>
      <c r="K52" s="1670">
        <f>SUM(C52:J52)</f>
        <v>1767</v>
      </c>
      <c r="L52" s="474"/>
    </row>
    <row r="53" spans="1:14" ht="12.75" customHeight="1" thickBot="1" x14ac:dyDescent="0.25">
      <c r="A53" s="1666" t="s">
        <v>717</v>
      </c>
      <c r="B53" s="1667" t="s">
        <v>33</v>
      </c>
      <c r="C53" s="1668">
        <f>SUM(C49:C52)</f>
        <v>291504</v>
      </c>
      <c r="D53" s="1668">
        <f t="shared" ref="D53:L53" si="5">SUM(D49:D52)</f>
        <v>103987</v>
      </c>
      <c r="E53" s="1668">
        <f t="shared" si="5"/>
        <v>311286</v>
      </c>
      <c r="F53" s="1668">
        <f t="shared" si="5"/>
        <v>75223</v>
      </c>
      <c r="G53" s="1668">
        <f t="shared" si="5"/>
        <v>72942</v>
      </c>
      <c r="H53" s="1668">
        <f t="shared" si="5"/>
        <v>0</v>
      </c>
      <c r="I53" s="1668">
        <f t="shared" si="5"/>
        <v>0</v>
      </c>
      <c r="J53" s="1668">
        <f t="shared" si="5"/>
        <v>0</v>
      </c>
      <c r="K53" s="1668">
        <f t="shared" si="5"/>
        <v>854942</v>
      </c>
      <c r="L53" s="1668">
        <f t="shared" si="5"/>
        <v>611317</v>
      </c>
    </row>
    <row r="54" spans="1:14" ht="15.75" customHeight="1" thickTop="1" x14ac:dyDescent="0.2">
      <c r="A54" s="624" t="s">
        <v>611</v>
      </c>
      <c r="B54" s="625"/>
      <c r="C54" s="626"/>
      <c r="D54" s="626"/>
      <c r="E54" s="626"/>
      <c r="F54" s="626"/>
      <c r="G54" s="626"/>
      <c r="H54" s="626"/>
      <c r="I54" s="616"/>
      <c r="J54" s="616"/>
      <c r="K54" s="626"/>
      <c r="L54" s="626"/>
    </row>
    <row r="55" spans="1:14" x14ac:dyDescent="0.2">
      <c r="A55" s="1502" t="s">
        <v>1067</v>
      </c>
      <c r="B55" s="614">
        <v>2410</v>
      </c>
      <c r="C55" s="481"/>
      <c r="D55" s="481"/>
      <c r="E55" s="481"/>
      <c r="F55" s="481"/>
      <c r="G55" s="481"/>
      <c r="H55" s="481"/>
      <c r="I55" s="467"/>
      <c r="J55" s="467"/>
      <c r="K55" s="1670">
        <f>SUM(C55:J55)</f>
        <v>0</v>
      </c>
      <c r="L55" s="481"/>
    </row>
    <row r="56" spans="1:14" ht="12.75" customHeight="1" x14ac:dyDescent="0.2">
      <c r="A56" s="1506" t="s">
        <v>376</v>
      </c>
      <c r="B56" s="628">
        <v>2490</v>
      </c>
      <c r="C56" s="466"/>
      <c r="D56" s="466"/>
      <c r="E56" s="466"/>
      <c r="F56" s="466"/>
      <c r="G56" s="466"/>
      <c r="H56" s="466"/>
      <c r="I56" s="467"/>
      <c r="J56" s="467"/>
      <c r="K56" s="1670">
        <f>SUM(C56:J56)</f>
        <v>0</v>
      </c>
      <c r="L56" s="466"/>
    </row>
    <row r="57" spans="1:14" s="343" customFormat="1" ht="12.75" customHeight="1" thickBot="1" x14ac:dyDescent="0.25">
      <c r="A57" s="1666" t="s">
        <v>263</v>
      </c>
      <c r="B57" s="1671" t="s">
        <v>34</v>
      </c>
      <c r="C57" s="1672">
        <f>SUM(C55:C56)</f>
        <v>0</v>
      </c>
      <c r="D57" s="1672">
        <f t="shared" ref="D57:K57" si="6">SUM(D55:D56)</f>
        <v>0</v>
      </c>
      <c r="E57" s="1672">
        <f t="shared" si="6"/>
        <v>0</v>
      </c>
      <c r="F57" s="1672">
        <f t="shared" si="6"/>
        <v>0</v>
      </c>
      <c r="G57" s="1672">
        <f t="shared" si="6"/>
        <v>0</v>
      </c>
      <c r="H57" s="1672">
        <f t="shared" si="6"/>
        <v>0</v>
      </c>
      <c r="I57" s="1672">
        <f t="shared" si="6"/>
        <v>0</v>
      </c>
      <c r="J57" s="1672">
        <f t="shared" si="6"/>
        <v>0</v>
      </c>
      <c r="K57" s="1672">
        <f t="shared" si="6"/>
        <v>0</v>
      </c>
      <c r="L57" s="1668">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2" t="s">
        <v>1068</v>
      </c>
      <c r="B59" s="614">
        <v>2510</v>
      </c>
      <c r="C59" s="481"/>
      <c r="D59" s="481"/>
      <c r="E59" s="481"/>
      <c r="F59" s="481"/>
      <c r="G59" s="481"/>
      <c r="H59" s="481"/>
      <c r="I59" s="467"/>
      <c r="J59" s="467"/>
      <c r="K59" s="1670">
        <f t="shared" ref="K59:K64" si="7">SUM(C59:J59)</f>
        <v>0</v>
      </c>
      <c r="L59" s="481"/>
      <c r="M59" s="609"/>
      <c r="N59" s="609"/>
    </row>
    <row r="60" spans="1:14" s="343" customFormat="1" x14ac:dyDescent="0.2">
      <c r="A60" s="1502" t="s">
        <v>463</v>
      </c>
      <c r="B60" s="614">
        <v>2520</v>
      </c>
      <c r="C60" s="466">
        <v>92499</v>
      </c>
      <c r="D60" s="466">
        <v>38088</v>
      </c>
      <c r="E60" s="466">
        <v>681</v>
      </c>
      <c r="F60" s="466">
        <v>53</v>
      </c>
      <c r="G60" s="466"/>
      <c r="H60" s="466"/>
      <c r="I60" s="467"/>
      <c r="J60" s="467"/>
      <c r="K60" s="1670">
        <f t="shared" si="7"/>
        <v>131321</v>
      </c>
      <c r="L60" s="466">
        <v>127432</v>
      </c>
      <c r="M60" s="609"/>
      <c r="N60" s="609"/>
    </row>
    <row r="61" spans="1:14" s="343" customFormat="1" x14ac:dyDescent="0.2">
      <c r="A61" s="1502" t="s">
        <v>197</v>
      </c>
      <c r="B61" s="614">
        <v>2540</v>
      </c>
      <c r="C61" s="466"/>
      <c r="D61" s="466"/>
      <c r="E61" s="466"/>
      <c r="F61" s="466"/>
      <c r="G61" s="466"/>
      <c r="H61" s="466"/>
      <c r="I61" s="467"/>
      <c r="J61" s="467"/>
      <c r="K61" s="1670">
        <f t="shared" si="7"/>
        <v>0</v>
      </c>
      <c r="L61" s="466"/>
      <c r="M61" s="609"/>
      <c r="N61" s="609"/>
    </row>
    <row r="62" spans="1:14" s="343" customFormat="1" x14ac:dyDescent="0.2">
      <c r="A62" s="1502" t="s">
        <v>953</v>
      </c>
      <c r="B62" s="614">
        <v>2550</v>
      </c>
      <c r="C62" s="466"/>
      <c r="D62" s="466"/>
      <c r="E62" s="466"/>
      <c r="F62" s="466"/>
      <c r="G62" s="466">
        <v>42453</v>
      </c>
      <c r="H62" s="466"/>
      <c r="I62" s="467"/>
      <c r="J62" s="467"/>
      <c r="K62" s="1670">
        <f t="shared" si="7"/>
        <v>42453</v>
      </c>
      <c r="L62" s="466">
        <v>0</v>
      </c>
      <c r="M62" s="609"/>
      <c r="N62" s="609"/>
    </row>
    <row r="63" spans="1:14" s="609" customFormat="1" x14ac:dyDescent="0.2">
      <c r="A63" s="1502" t="s">
        <v>100</v>
      </c>
      <c r="B63" s="614">
        <v>2560</v>
      </c>
      <c r="C63" s="466"/>
      <c r="D63" s="466"/>
      <c r="E63" s="466"/>
      <c r="F63" s="466"/>
      <c r="G63" s="466"/>
      <c r="H63" s="466"/>
      <c r="I63" s="467"/>
      <c r="J63" s="467"/>
      <c r="K63" s="1670">
        <f t="shared" si="7"/>
        <v>0</v>
      </c>
      <c r="L63" s="466"/>
    </row>
    <row r="64" spans="1:14" s="609" customFormat="1" x14ac:dyDescent="0.2">
      <c r="A64" s="1507" t="s">
        <v>101</v>
      </c>
      <c r="B64" s="630">
        <v>2570</v>
      </c>
      <c r="C64" s="481"/>
      <c r="D64" s="481"/>
      <c r="E64" s="481"/>
      <c r="F64" s="481"/>
      <c r="G64" s="481"/>
      <c r="H64" s="481"/>
      <c r="I64" s="467"/>
      <c r="J64" s="467"/>
      <c r="K64" s="1670">
        <f t="shared" si="7"/>
        <v>0</v>
      </c>
      <c r="L64" s="481"/>
    </row>
    <row r="65" spans="1:14" s="343" customFormat="1" ht="12.75" customHeight="1" thickBot="1" x14ac:dyDescent="0.25">
      <c r="A65" s="1666" t="s">
        <v>719</v>
      </c>
      <c r="B65" s="1667" t="s">
        <v>35</v>
      </c>
      <c r="C65" s="1668">
        <f>SUM(C59:C64)</f>
        <v>92499</v>
      </c>
      <c r="D65" s="1668">
        <f t="shared" ref="D65:L65" si="8">SUM(D59:D64)</f>
        <v>38088</v>
      </c>
      <c r="E65" s="1668">
        <f t="shared" si="8"/>
        <v>681</v>
      </c>
      <c r="F65" s="1668">
        <f t="shared" si="8"/>
        <v>53</v>
      </c>
      <c r="G65" s="1668">
        <f t="shared" si="8"/>
        <v>42453</v>
      </c>
      <c r="H65" s="1668">
        <f t="shared" si="8"/>
        <v>0</v>
      </c>
      <c r="I65" s="1668">
        <f t="shared" si="8"/>
        <v>0</v>
      </c>
      <c r="J65" s="1668">
        <f t="shared" si="8"/>
        <v>0</v>
      </c>
      <c r="K65" s="1668">
        <f t="shared" si="8"/>
        <v>173774</v>
      </c>
      <c r="L65" s="1668">
        <f t="shared" si="8"/>
        <v>127432</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2" t="s">
        <v>1060</v>
      </c>
      <c r="B67" s="614">
        <v>2610</v>
      </c>
      <c r="C67" s="466"/>
      <c r="D67" s="466"/>
      <c r="E67" s="466"/>
      <c r="F67" s="466"/>
      <c r="G67" s="466"/>
      <c r="H67" s="466"/>
      <c r="I67" s="467"/>
      <c r="J67" s="467"/>
      <c r="K67" s="1670">
        <f>SUM(C67:J67)</f>
        <v>0</v>
      </c>
      <c r="L67" s="481"/>
      <c r="M67" s="609"/>
      <c r="N67" s="609"/>
    </row>
    <row r="68" spans="1:14" s="343" customFormat="1" x14ac:dyDescent="0.2">
      <c r="A68" s="1502" t="s">
        <v>607</v>
      </c>
      <c r="B68" s="614">
        <v>2620</v>
      </c>
      <c r="C68" s="466"/>
      <c r="D68" s="466"/>
      <c r="E68" s="466"/>
      <c r="F68" s="466"/>
      <c r="G68" s="466"/>
      <c r="H68" s="466"/>
      <c r="I68" s="467"/>
      <c r="J68" s="467"/>
      <c r="K68" s="1670">
        <f>SUM(C68:J68)</f>
        <v>0</v>
      </c>
      <c r="L68" s="466"/>
      <c r="M68" s="609"/>
      <c r="N68" s="609"/>
    </row>
    <row r="69" spans="1:14" s="343" customFormat="1" x14ac:dyDescent="0.2">
      <c r="A69" s="1502" t="s">
        <v>1061</v>
      </c>
      <c r="B69" s="614">
        <v>2630</v>
      </c>
      <c r="C69" s="466"/>
      <c r="D69" s="466"/>
      <c r="E69" s="466"/>
      <c r="F69" s="466"/>
      <c r="G69" s="466"/>
      <c r="H69" s="466"/>
      <c r="I69" s="467"/>
      <c r="J69" s="467"/>
      <c r="K69" s="1670">
        <f>SUM(C69:J69)</f>
        <v>0</v>
      </c>
      <c r="L69" s="466"/>
      <c r="M69" s="609"/>
      <c r="N69" s="609"/>
    </row>
    <row r="70" spans="1:14" s="343" customFormat="1" x14ac:dyDescent="0.2">
      <c r="A70" s="1502" t="s">
        <v>403</v>
      </c>
      <c r="B70" s="614">
        <v>2640</v>
      </c>
      <c r="C70" s="466"/>
      <c r="D70" s="466"/>
      <c r="E70" s="466"/>
      <c r="F70" s="466"/>
      <c r="G70" s="466"/>
      <c r="H70" s="466"/>
      <c r="I70" s="467"/>
      <c r="J70" s="467"/>
      <c r="K70" s="1670">
        <f>SUM(C70:J70)</f>
        <v>0</v>
      </c>
      <c r="L70" s="466"/>
      <c r="M70" s="609"/>
      <c r="N70" s="609"/>
    </row>
    <row r="71" spans="1:14" s="343" customFormat="1" x14ac:dyDescent="0.2">
      <c r="A71" s="1502" t="s">
        <v>404</v>
      </c>
      <c r="B71" s="614">
        <v>2660</v>
      </c>
      <c r="C71" s="466"/>
      <c r="D71" s="466"/>
      <c r="E71" s="466">
        <v>27230</v>
      </c>
      <c r="F71" s="466"/>
      <c r="G71" s="466"/>
      <c r="H71" s="466"/>
      <c r="I71" s="467"/>
      <c r="J71" s="467"/>
      <c r="K71" s="1670">
        <f>SUM(C71:J71)</f>
        <v>27230</v>
      </c>
      <c r="L71" s="466">
        <v>56500</v>
      </c>
      <c r="M71" s="609"/>
      <c r="N71" s="609"/>
    </row>
    <row r="72" spans="1:14" s="343" customFormat="1" ht="12.75" customHeight="1" thickBot="1" x14ac:dyDescent="0.25">
      <c r="A72" s="1666" t="s">
        <v>37</v>
      </c>
      <c r="B72" s="1673" t="s">
        <v>36</v>
      </c>
      <c r="C72" s="1668">
        <f>SUM(C67:C71)</f>
        <v>0</v>
      </c>
      <c r="D72" s="1668">
        <f t="shared" ref="D72:K72" si="9">SUM(D67:D71)</f>
        <v>0</v>
      </c>
      <c r="E72" s="1668">
        <f t="shared" si="9"/>
        <v>27230</v>
      </c>
      <c r="F72" s="1668">
        <f t="shared" si="9"/>
        <v>0</v>
      </c>
      <c r="G72" s="1668">
        <f t="shared" si="9"/>
        <v>0</v>
      </c>
      <c r="H72" s="1668">
        <f t="shared" si="9"/>
        <v>0</v>
      </c>
      <c r="I72" s="1668">
        <f t="shared" si="9"/>
        <v>0</v>
      </c>
      <c r="J72" s="1668">
        <f t="shared" si="9"/>
        <v>0</v>
      </c>
      <c r="K72" s="1668">
        <f t="shared" si="9"/>
        <v>27230</v>
      </c>
      <c r="L72" s="1668">
        <f>SUM(L67:L71)</f>
        <v>56500</v>
      </c>
      <c r="M72" s="609"/>
      <c r="N72" s="609"/>
    </row>
    <row r="73" spans="1:14" s="343" customFormat="1" ht="14.25" thickTop="1" thickBot="1" x14ac:dyDescent="0.25">
      <c r="A73" s="1508" t="s">
        <v>980</v>
      </c>
      <c r="B73" s="632" t="s">
        <v>574</v>
      </c>
      <c r="C73" s="573"/>
      <c r="D73" s="573"/>
      <c r="E73" s="573"/>
      <c r="F73" s="573"/>
      <c r="G73" s="573"/>
      <c r="H73" s="573">
        <v>37996</v>
      </c>
      <c r="I73" s="531"/>
      <c r="J73" s="531"/>
      <c r="K73" s="1668">
        <f>SUM(C73:J73)</f>
        <v>37996</v>
      </c>
      <c r="L73" s="576"/>
      <c r="M73" s="609"/>
      <c r="N73" s="609"/>
    </row>
    <row r="74" spans="1:14" ht="12.75" customHeight="1" thickTop="1" thickBot="1" x14ac:dyDescent="0.25">
      <c r="A74" s="1666" t="s">
        <v>811</v>
      </c>
      <c r="B74" s="1674">
        <v>2000</v>
      </c>
      <c r="C74" s="1675">
        <f>SUM(C42,C47,C53,C57,C65,C72,C73)</f>
        <v>1507220</v>
      </c>
      <c r="D74" s="1675">
        <f t="shared" ref="D74:K74" si="10">SUM(D42,D47,D53,D57,D65,D72,D73)</f>
        <v>438089</v>
      </c>
      <c r="E74" s="1675">
        <f t="shared" si="10"/>
        <v>520133</v>
      </c>
      <c r="F74" s="1675">
        <f t="shared" si="10"/>
        <v>91196</v>
      </c>
      <c r="G74" s="1675">
        <f t="shared" si="10"/>
        <v>115395</v>
      </c>
      <c r="H74" s="1675">
        <f t="shared" si="10"/>
        <v>42476</v>
      </c>
      <c r="I74" s="1675">
        <f t="shared" si="10"/>
        <v>0</v>
      </c>
      <c r="J74" s="1675">
        <f t="shared" si="10"/>
        <v>0</v>
      </c>
      <c r="K74" s="1675">
        <f t="shared" si="10"/>
        <v>2714509</v>
      </c>
      <c r="L74" s="1675">
        <f>SUM(L42,L47,L53,L57,L65,L72,L73)</f>
        <v>2481624</v>
      </c>
    </row>
    <row r="75" spans="1:14" s="259" customFormat="1" ht="15.75" customHeight="1" thickTop="1" thickBot="1" x14ac:dyDescent="0.25">
      <c r="A75" s="1608" t="s">
        <v>47</v>
      </c>
      <c r="B75" s="1609" t="s">
        <v>575</v>
      </c>
      <c r="C75" s="573"/>
      <c r="D75" s="573"/>
      <c r="E75" s="573"/>
      <c r="F75" s="573"/>
      <c r="G75" s="573"/>
      <c r="H75" s="573"/>
      <c r="I75" s="531"/>
      <c r="J75" s="531"/>
      <c r="K75" s="1668">
        <f>SUM(C75:J75)</f>
        <v>0</v>
      </c>
      <c r="L75" s="576"/>
      <c r="M75" s="613"/>
      <c r="N75" s="613"/>
    </row>
    <row r="76" spans="1:14" s="633" customFormat="1" ht="15.75" customHeight="1" thickTop="1" x14ac:dyDescent="0.2">
      <c r="A76" s="1610" t="s">
        <v>365</v>
      </c>
      <c r="B76" s="1607"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2" t="s">
        <v>496</v>
      </c>
      <c r="B78" s="614">
        <v>4110</v>
      </c>
      <c r="C78" s="616"/>
      <c r="D78" s="616"/>
      <c r="E78" s="481"/>
      <c r="F78" s="616"/>
      <c r="G78" s="616"/>
      <c r="H78" s="634"/>
      <c r="I78" s="477"/>
      <c r="J78" s="477"/>
      <c r="K78" s="1669">
        <f t="shared" ref="K78:K83" si="11">SUM(C78:J78)</f>
        <v>0</v>
      </c>
      <c r="L78" s="481"/>
    </row>
    <row r="79" spans="1:14" x14ac:dyDescent="0.2">
      <c r="A79" s="1502" t="s">
        <v>304</v>
      </c>
      <c r="B79" s="614">
        <v>4120</v>
      </c>
      <c r="C79" s="616"/>
      <c r="D79" s="616"/>
      <c r="E79" s="466"/>
      <c r="F79" s="616"/>
      <c r="G79" s="616"/>
      <c r="H79" s="466">
        <v>1119106</v>
      </c>
      <c r="I79" s="477"/>
      <c r="J79" s="477"/>
      <c r="K79" s="1669">
        <f t="shared" si="11"/>
        <v>1119106</v>
      </c>
      <c r="L79" s="466">
        <v>1007953</v>
      </c>
    </row>
    <row r="80" spans="1:14" x14ac:dyDescent="0.2">
      <c r="A80" s="1502" t="s">
        <v>305</v>
      </c>
      <c r="B80" s="614">
        <v>4130</v>
      </c>
      <c r="C80" s="616"/>
      <c r="D80" s="616"/>
      <c r="E80" s="466"/>
      <c r="F80" s="616"/>
      <c r="G80" s="616"/>
      <c r="H80" s="466"/>
      <c r="I80" s="477"/>
      <c r="J80" s="477"/>
      <c r="K80" s="1669">
        <f t="shared" si="11"/>
        <v>0</v>
      </c>
      <c r="L80" s="466"/>
    </row>
    <row r="81" spans="1:12" x14ac:dyDescent="0.2">
      <c r="A81" s="1502" t="s">
        <v>697</v>
      </c>
      <c r="B81" s="614">
        <v>4140</v>
      </c>
      <c r="C81" s="616"/>
      <c r="D81" s="616"/>
      <c r="E81" s="466"/>
      <c r="F81" s="616"/>
      <c r="G81" s="616"/>
      <c r="H81" s="466"/>
      <c r="I81" s="477"/>
      <c r="J81" s="477"/>
      <c r="K81" s="1669">
        <f t="shared" si="11"/>
        <v>0</v>
      </c>
      <c r="L81" s="466"/>
    </row>
    <row r="82" spans="1:12" x14ac:dyDescent="0.2">
      <c r="A82" s="1502" t="s">
        <v>86</v>
      </c>
      <c r="B82" s="614">
        <v>4170</v>
      </c>
      <c r="C82" s="616"/>
      <c r="D82" s="616"/>
      <c r="E82" s="466"/>
      <c r="F82" s="616"/>
      <c r="G82" s="616"/>
      <c r="H82" s="466"/>
      <c r="I82" s="477"/>
      <c r="J82" s="477"/>
      <c r="K82" s="1669">
        <f t="shared" si="11"/>
        <v>0</v>
      </c>
      <c r="L82" s="466"/>
    </row>
    <row r="83" spans="1:12" x14ac:dyDescent="0.2">
      <c r="A83" s="1506" t="s">
        <v>698</v>
      </c>
      <c r="B83" s="628">
        <v>4190</v>
      </c>
      <c r="C83" s="616"/>
      <c r="D83" s="616"/>
      <c r="E83" s="466">
        <v>317</v>
      </c>
      <c r="F83" s="616"/>
      <c r="G83" s="616"/>
      <c r="H83" s="466">
        <f>800000+171327</f>
        <v>971327</v>
      </c>
      <c r="I83" s="477"/>
      <c r="J83" s="477"/>
      <c r="K83" s="1669">
        <f t="shared" si="11"/>
        <v>971644</v>
      </c>
      <c r="L83" s="466"/>
    </row>
    <row r="84" spans="1:12" ht="13.5" thickBot="1" x14ac:dyDescent="0.25">
      <c r="A84" s="1666" t="s">
        <v>1485</v>
      </c>
      <c r="B84" s="1676">
        <v>4100</v>
      </c>
      <c r="C84" s="616"/>
      <c r="D84" s="616"/>
      <c r="E84" s="1668">
        <f>SUM(E78:E83)</f>
        <v>317</v>
      </c>
      <c r="F84" s="616"/>
      <c r="G84" s="616"/>
      <c r="H84" s="1668">
        <f>SUM(H78:H83)</f>
        <v>2090433</v>
      </c>
      <c r="I84" s="477"/>
      <c r="J84" s="477"/>
      <c r="K84" s="1668">
        <f>SUM(K78:K83)</f>
        <v>2090750</v>
      </c>
      <c r="L84" s="1668">
        <f>SUM(L78:L83)</f>
        <v>1007953</v>
      </c>
    </row>
    <row r="85" spans="1:12" ht="12.75" customHeight="1" thickTop="1" thickBot="1" x14ac:dyDescent="0.25">
      <c r="A85" s="1509" t="s">
        <v>255</v>
      </c>
      <c r="B85" s="635">
        <v>4210</v>
      </c>
      <c r="C85" s="616"/>
      <c r="D85" s="616"/>
      <c r="E85" s="636"/>
      <c r="F85" s="616"/>
      <c r="G85" s="616"/>
      <c r="H85" s="535"/>
      <c r="I85" s="477"/>
      <c r="J85" s="477"/>
      <c r="K85" s="1675">
        <f>H85</f>
        <v>0</v>
      </c>
      <c r="L85" s="530"/>
    </row>
    <row r="86" spans="1:12" ht="12.75" customHeight="1" thickTop="1" thickBot="1" x14ac:dyDescent="0.25">
      <c r="A86" s="1510" t="s">
        <v>699</v>
      </c>
      <c r="B86" s="637">
        <v>4220</v>
      </c>
      <c r="C86" s="616"/>
      <c r="D86" s="616"/>
      <c r="E86" s="638"/>
      <c r="F86" s="616"/>
      <c r="G86" s="616"/>
      <c r="H86" s="467"/>
      <c r="I86" s="477"/>
      <c r="J86" s="477"/>
      <c r="K86" s="1675">
        <f t="shared" ref="K86:K98" si="12">H86</f>
        <v>0</v>
      </c>
      <c r="L86" s="530"/>
    </row>
    <row r="87" spans="1:12" ht="14.25" thickTop="1" thickBot="1" x14ac:dyDescent="0.25">
      <c r="A87" s="1511" t="s">
        <v>700</v>
      </c>
      <c r="B87" s="639">
        <v>4230</v>
      </c>
      <c r="C87" s="616"/>
      <c r="D87" s="616"/>
      <c r="E87" s="638"/>
      <c r="F87" s="616"/>
      <c r="G87" s="616"/>
      <c r="H87" s="467"/>
      <c r="I87" s="477"/>
      <c r="J87" s="477"/>
      <c r="K87" s="1675">
        <f t="shared" si="12"/>
        <v>0</v>
      </c>
      <c r="L87" s="530"/>
    </row>
    <row r="88" spans="1:12" ht="12.75" customHeight="1" thickTop="1" thickBot="1" x14ac:dyDescent="0.25">
      <c r="A88" s="1511" t="s">
        <v>765</v>
      </c>
      <c r="B88" s="639">
        <v>4240</v>
      </c>
      <c r="C88" s="616"/>
      <c r="D88" s="616"/>
      <c r="E88" s="638"/>
      <c r="F88" s="616"/>
      <c r="G88" s="616"/>
      <c r="H88" s="467"/>
      <c r="I88" s="477"/>
      <c r="J88" s="477"/>
      <c r="K88" s="1675">
        <f t="shared" si="12"/>
        <v>0</v>
      </c>
      <c r="L88" s="530"/>
    </row>
    <row r="89" spans="1:12" ht="12.75" customHeight="1" thickTop="1" thickBot="1" x14ac:dyDescent="0.25">
      <c r="A89" s="1511" t="s">
        <v>701</v>
      </c>
      <c r="B89" s="639">
        <v>4270</v>
      </c>
      <c r="C89" s="616"/>
      <c r="D89" s="616"/>
      <c r="E89" s="638"/>
      <c r="F89" s="616"/>
      <c r="G89" s="616"/>
      <c r="H89" s="467"/>
      <c r="I89" s="477"/>
      <c r="J89" s="477"/>
      <c r="K89" s="1675">
        <f t="shared" si="12"/>
        <v>0</v>
      </c>
      <c r="L89" s="530"/>
    </row>
    <row r="90" spans="1:12" ht="12.75" customHeight="1" thickTop="1" thickBot="1" x14ac:dyDescent="0.25">
      <c r="A90" s="1511" t="s">
        <v>686</v>
      </c>
      <c r="B90" s="639">
        <v>4280</v>
      </c>
      <c r="C90" s="616"/>
      <c r="D90" s="616"/>
      <c r="E90" s="638"/>
      <c r="F90" s="616"/>
      <c r="G90" s="616"/>
      <c r="H90" s="467"/>
      <c r="I90" s="477"/>
      <c r="J90" s="477"/>
      <c r="K90" s="1675">
        <f t="shared" si="12"/>
        <v>0</v>
      </c>
      <c r="L90" s="530"/>
    </row>
    <row r="91" spans="1:12" ht="12.75" customHeight="1" thickTop="1" thickBot="1" x14ac:dyDescent="0.25">
      <c r="A91" s="1511" t="s">
        <v>687</v>
      </c>
      <c r="B91" s="639">
        <v>4290</v>
      </c>
      <c r="C91" s="616"/>
      <c r="D91" s="616"/>
      <c r="E91" s="638"/>
      <c r="F91" s="616"/>
      <c r="G91" s="616"/>
      <c r="H91" s="467"/>
      <c r="I91" s="477"/>
      <c r="J91" s="477"/>
      <c r="K91" s="1675">
        <f t="shared" si="12"/>
        <v>0</v>
      </c>
      <c r="L91" s="530"/>
    </row>
    <row r="92" spans="1:12" ht="14.25" thickTop="1" thickBot="1" x14ac:dyDescent="0.25">
      <c r="A92" s="1678" t="s">
        <v>1560</v>
      </c>
      <c r="B92" s="1676">
        <v>4200</v>
      </c>
      <c r="C92" s="616"/>
      <c r="D92" s="616"/>
      <c r="E92" s="638"/>
      <c r="F92" s="616"/>
      <c r="G92" s="616"/>
      <c r="H92" s="1668">
        <f>SUM(H85:H91)</f>
        <v>0</v>
      </c>
      <c r="I92" s="477"/>
      <c r="J92" s="477"/>
      <c r="K92" s="1675">
        <f t="shared" si="12"/>
        <v>0</v>
      </c>
      <c r="L92" s="1668">
        <f>SUM(L85:L91)</f>
        <v>0</v>
      </c>
    </row>
    <row r="93" spans="1:12" ht="14.25" thickTop="1" thickBot="1" x14ac:dyDescent="0.25">
      <c r="A93" s="1510" t="s">
        <v>688</v>
      </c>
      <c r="B93" s="640">
        <v>4310</v>
      </c>
      <c r="C93" s="616"/>
      <c r="D93" s="616"/>
      <c r="E93" s="638"/>
      <c r="F93" s="616"/>
      <c r="G93" s="616"/>
      <c r="H93" s="641"/>
      <c r="I93" s="477"/>
      <c r="J93" s="477"/>
      <c r="K93" s="1675">
        <f t="shared" si="12"/>
        <v>0</v>
      </c>
      <c r="L93" s="532"/>
    </row>
    <row r="94" spans="1:12" ht="12.75" customHeight="1" thickTop="1" thickBot="1" x14ac:dyDescent="0.25">
      <c r="A94" s="1511" t="s">
        <v>689</v>
      </c>
      <c r="B94" s="639">
        <v>4320</v>
      </c>
      <c r="C94" s="616"/>
      <c r="D94" s="616"/>
      <c r="E94" s="638"/>
      <c r="F94" s="616"/>
      <c r="G94" s="616"/>
      <c r="H94" s="467"/>
      <c r="I94" s="477"/>
      <c r="J94" s="477"/>
      <c r="K94" s="1675">
        <f t="shared" si="12"/>
        <v>0</v>
      </c>
      <c r="L94" s="530"/>
    </row>
    <row r="95" spans="1:12" ht="15" customHeight="1" thickTop="1" thickBot="1" x14ac:dyDescent="0.25">
      <c r="A95" s="1511" t="s">
        <v>1488</v>
      </c>
      <c r="B95" s="639">
        <v>4330</v>
      </c>
      <c r="C95" s="616"/>
      <c r="D95" s="616"/>
      <c r="E95" s="638"/>
      <c r="F95" s="616"/>
      <c r="G95" s="616"/>
      <c r="H95" s="467"/>
      <c r="I95" s="477"/>
      <c r="J95" s="477"/>
      <c r="K95" s="1675">
        <f t="shared" si="12"/>
        <v>0</v>
      </c>
      <c r="L95" s="530"/>
    </row>
    <row r="96" spans="1:12" ht="14.25" thickTop="1" thickBot="1" x14ac:dyDescent="0.25">
      <c r="A96" s="1511" t="s">
        <v>690</v>
      </c>
      <c r="B96" s="639">
        <v>4340</v>
      </c>
      <c r="C96" s="616"/>
      <c r="D96" s="616"/>
      <c r="E96" s="638"/>
      <c r="F96" s="616"/>
      <c r="G96" s="616"/>
      <c r="H96" s="467"/>
      <c r="I96" s="477"/>
      <c r="J96" s="477"/>
      <c r="K96" s="1675">
        <f t="shared" si="12"/>
        <v>0</v>
      </c>
      <c r="L96" s="530"/>
    </row>
    <row r="97" spans="1:14" ht="12.75" customHeight="1" thickTop="1" thickBot="1" x14ac:dyDescent="0.25">
      <c r="A97" s="1511" t="s">
        <v>763</v>
      </c>
      <c r="B97" s="639">
        <v>4370</v>
      </c>
      <c r="C97" s="616"/>
      <c r="D97" s="616"/>
      <c r="E97" s="638"/>
      <c r="F97" s="616"/>
      <c r="G97" s="616"/>
      <c r="H97" s="467"/>
      <c r="I97" s="477"/>
      <c r="J97" s="477"/>
      <c r="K97" s="1675">
        <f t="shared" si="12"/>
        <v>0</v>
      </c>
      <c r="L97" s="530"/>
    </row>
    <row r="98" spans="1:14" ht="14.25" thickTop="1" thickBot="1" x14ac:dyDescent="0.25">
      <c r="A98" s="1511" t="s">
        <v>764</v>
      </c>
      <c r="B98" s="639">
        <v>4380</v>
      </c>
      <c r="C98" s="616"/>
      <c r="D98" s="616"/>
      <c r="E98" s="642"/>
      <c r="F98" s="616"/>
      <c r="G98" s="616"/>
      <c r="H98" s="467"/>
      <c r="I98" s="477"/>
      <c r="J98" s="477"/>
      <c r="K98" s="1675">
        <f t="shared" si="12"/>
        <v>0</v>
      </c>
      <c r="L98" s="530"/>
    </row>
    <row r="99" spans="1:14" ht="14.25" thickTop="1" thickBot="1" x14ac:dyDescent="0.25">
      <c r="A99" s="1511" t="s">
        <v>367</v>
      </c>
      <c r="B99" s="639">
        <v>4390</v>
      </c>
      <c r="C99" s="616"/>
      <c r="D99" s="616"/>
      <c r="E99" s="532"/>
      <c r="F99" s="616"/>
      <c r="G99" s="616"/>
      <c r="H99" s="467"/>
      <c r="I99" s="477"/>
      <c r="J99" s="477"/>
      <c r="K99" s="1675">
        <f>SUM(E99,H99)</f>
        <v>0</v>
      </c>
      <c r="L99" s="530"/>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08" t="s">
        <v>1489</v>
      </c>
      <c r="B101" s="643" t="s">
        <v>931</v>
      </c>
      <c r="C101" s="616"/>
      <c r="D101" s="616"/>
      <c r="E101" s="531"/>
      <c r="F101" s="616"/>
      <c r="G101" s="616"/>
      <c r="H101" s="531"/>
      <c r="I101" s="477"/>
      <c r="J101" s="477"/>
      <c r="K101" s="1677">
        <f>SUM(C101:J101)</f>
        <v>0</v>
      </c>
      <c r="L101" s="530"/>
    </row>
    <row r="102" spans="1:14" ht="12.75" customHeight="1" thickTop="1" thickBot="1" x14ac:dyDescent="0.25">
      <c r="A102" s="1666" t="s">
        <v>1487</v>
      </c>
      <c r="B102" s="1676">
        <v>4000</v>
      </c>
      <c r="C102" s="616"/>
      <c r="D102" s="616"/>
      <c r="E102" s="1675">
        <f>SUM(E84,E92,E100,E101)</f>
        <v>317</v>
      </c>
      <c r="F102" s="616"/>
      <c r="G102" s="616"/>
      <c r="H102" s="1675">
        <f>SUM(H84,H92,H100,H101)</f>
        <v>2090433</v>
      </c>
      <c r="I102" s="477"/>
      <c r="J102" s="477"/>
      <c r="K102" s="1675">
        <f>SUM(K84,K92,K100,K101)</f>
        <v>2090750</v>
      </c>
      <c r="L102" s="1675">
        <f>SUM(L84,L92,L100,L101)</f>
        <v>1007953</v>
      </c>
    </row>
    <row r="103" spans="1:14" s="633" customFormat="1" ht="15.75" customHeight="1" thickTop="1" x14ac:dyDescent="0.2">
      <c r="A103" s="1610" t="s">
        <v>513</v>
      </c>
      <c r="B103" s="1607"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2" t="s">
        <v>87</v>
      </c>
      <c r="B105" s="614">
        <v>5110</v>
      </c>
      <c r="C105" s="616"/>
      <c r="D105" s="616"/>
      <c r="E105" s="616"/>
      <c r="F105" s="616"/>
      <c r="G105" s="616"/>
      <c r="H105" s="481"/>
      <c r="I105" s="468"/>
      <c r="J105" s="468"/>
      <c r="K105" s="1669">
        <f>H105</f>
        <v>0</v>
      </c>
      <c r="L105" s="481"/>
      <c r="M105" s="210"/>
      <c r="N105" s="210"/>
    </row>
    <row r="106" spans="1:14" s="597" customFormat="1" x14ac:dyDescent="0.2">
      <c r="A106" s="1502"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2" t="s">
        <v>1170</v>
      </c>
      <c r="B107" s="614">
        <v>5130</v>
      </c>
      <c r="C107" s="616"/>
      <c r="D107" s="616"/>
      <c r="E107" s="616"/>
      <c r="F107" s="616"/>
      <c r="G107" s="616"/>
      <c r="H107" s="466"/>
      <c r="I107" s="468"/>
      <c r="J107" s="468"/>
      <c r="K107" s="1669">
        <f>H107</f>
        <v>0</v>
      </c>
      <c r="L107" s="466"/>
      <c r="M107" s="210"/>
      <c r="N107" s="210"/>
    </row>
    <row r="108" spans="1:14" s="597" customFormat="1" x14ac:dyDescent="0.2">
      <c r="A108" s="1502" t="s">
        <v>89</v>
      </c>
      <c r="B108" s="614" t="s">
        <v>589</v>
      </c>
      <c r="C108" s="616"/>
      <c r="D108" s="616"/>
      <c r="E108" s="616"/>
      <c r="F108" s="616"/>
      <c r="G108" s="616"/>
      <c r="H108" s="466"/>
      <c r="I108" s="468"/>
      <c r="J108" s="468"/>
      <c r="K108" s="1669">
        <f>H108</f>
        <v>0</v>
      </c>
      <c r="L108" s="466"/>
      <c r="M108" s="210"/>
      <c r="N108" s="210"/>
    </row>
    <row r="109" spans="1:14" s="597" customFormat="1" x14ac:dyDescent="0.2">
      <c r="A109" s="1502"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2" t="s">
        <v>368</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4" t="s">
        <v>514</v>
      </c>
      <c r="B113" s="1611" t="s">
        <v>861</v>
      </c>
      <c r="C113" s="623"/>
      <c r="D113" s="623"/>
      <c r="E113" s="616"/>
      <c r="F113" s="616"/>
      <c r="G113" s="616"/>
      <c r="H113" s="623"/>
      <c r="I113" s="468"/>
      <c r="J113" s="468"/>
      <c r="K113" s="623"/>
      <c r="L113" s="531">
        <v>100000</v>
      </c>
      <c r="M113" s="613"/>
      <c r="N113" s="613"/>
    </row>
    <row r="114" spans="1:14" ht="12.75" customHeight="1" thickTop="1" thickBot="1" x14ac:dyDescent="0.25">
      <c r="A114" s="1666" t="s">
        <v>48</v>
      </c>
      <c r="B114" s="1680"/>
      <c r="C114" s="1668">
        <f>SUM(C33,C74,C75,C102,C112,C113)</f>
        <v>6388369</v>
      </c>
      <c r="D114" s="1668">
        <f t="shared" ref="D114:K114" si="13">SUM(D33,D74,D75,D102,D112,D113)</f>
        <v>2173807</v>
      </c>
      <c r="E114" s="1668">
        <f t="shared" si="13"/>
        <v>634572</v>
      </c>
      <c r="F114" s="1668">
        <f t="shared" si="13"/>
        <v>182043</v>
      </c>
      <c r="G114" s="1668">
        <f t="shared" si="13"/>
        <v>154133</v>
      </c>
      <c r="H114" s="1668">
        <f>SUM(H33,H74,H75,H102,H112,H113)</f>
        <v>2132909</v>
      </c>
      <c r="I114" s="1668">
        <f t="shared" si="13"/>
        <v>0</v>
      </c>
      <c r="J114" s="1668">
        <f t="shared" si="13"/>
        <v>0</v>
      </c>
      <c r="K114" s="1668">
        <f t="shared" si="13"/>
        <v>11665833</v>
      </c>
      <c r="L114" s="1668">
        <f>SUM(L33,L74,L75,L102,L112,L113)</f>
        <v>10122181</v>
      </c>
    </row>
    <row r="115" spans="1:14" ht="13.5" thickTop="1" x14ac:dyDescent="0.2">
      <c r="A115" s="2183" t="s">
        <v>996</v>
      </c>
      <c r="B115" s="2184"/>
      <c r="C115" s="618"/>
      <c r="D115" s="618"/>
      <c r="E115" s="618"/>
      <c r="F115" s="618"/>
      <c r="G115" s="618"/>
      <c r="H115" s="618"/>
      <c r="I115" s="618"/>
      <c r="J115" s="618"/>
      <c r="K115" s="1682">
        <f>'Revenues 9-14'!C268-'Expenditures 15-22'!K114</f>
        <v>373080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6" t="s">
        <v>2055</v>
      </c>
      <c r="B120" s="628" t="s">
        <v>716</v>
      </c>
      <c r="C120" s="466"/>
      <c r="D120" s="466"/>
      <c r="E120" s="466"/>
      <c r="F120" s="466"/>
      <c r="G120" s="466"/>
      <c r="H120" s="466"/>
      <c r="I120" s="467"/>
      <c r="J120" s="467"/>
      <c r="K120" s="1669">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2" t="s">
        <v>1068</v>
      </c>
      <c r="B122" s="614">
        <v>2510</v>
      </c>
      <c r="C122" s="466"/>
      <c r="D122" s="466"/>
      <c r="E122" s="466"/>
      <c r="F122" s="466"/>
      <c r="G122" s="466"/>
      <c r="H122" s="466"/>
      <c r="I122" s="467"/>
      <c r="J122" s="467"/>
      <c r="K122" s="1668">
        <f>SUM(C122:J122)</f>
        <v>0</v>
      </c>
      <c r="L122" s="466"/>
    </row>
    <row r="123" spans="1:14" ht="14.25" thickTop="1" thickBot="1" x14ac:dyDescent="0.25">
      <c r="A123" s="1502" t="s">
        <v>4</v>
      </c>
      <c r="B123" s="614">
        <v>2530</v>
      </c>
      <c r="C123" s="466"/>
      <c r="D123" s="466"/>
      <c r="E123" s="466"/>
      <c r="F123" s="466"/>
      <c r="G123" s="466"/>
      <c r="H123" s="466"/>
      <c r="I123" s="467"/>
      <c r="J123" s="467"/>
      <c r="K123" s="1668">
        <f>SUM(C123:J123)</f>
        <v>0</v>
      </c>
      <c r="L123" s="466"/>
    </row>
    <row r="124" spans="1:14" ht="14.25" thickTop="1" thickBot="1" x14ac:dyDescent="0.25">
      <c r="A124" s="1502" t="s">
        <v>197</v>
      </c>
      <c r="B124" s="614">
        <v>2540</v>
      </c>
      <c r="C124" s="466">
        <v>12072</v>
      </c>
      <c r="D124" s="466">
        <v>1968</v>
      </c>
      <c r="E124" s="466">
        <v>25157</v>
      </c>
      <c r="F124" s="466">
        <v>17468</v>
      </c>
      <c r="G124" s="466">
        <v>71231</v>
      </c>
      <c r="H124" s="466"/>
      <c r="I124" s="467"/>
      <c r="J124" s="467"/>
      <c r="K124" s="1668">
        <f>SUM(C124:J124)</f>
        <v>127896</v>
      </c>
      <c r="L124" s="466">
        <v>59029</v>
      </c>
    </row>
    <row r="125" spans="1:14" ht="14.25" thickTop="1" thickBot="1" x14ac:dyDescent="0.25">
      <c r="A125" s="1502" t="s">
        <v>953</v>
      </c>
      <c r="B125" s="614">
        <v>2550</v>
      </c>
      <c r="C125" s="466"/>
      <c r="D125" s="466"/>
      <c r="E125" s="466"/>
      <c r="F125" s="466"/>
      <c r="G125" s="466"/>
      <c r="H125" s="466"/>
      <c r="I125" s="467"/>
      <c r="J125" s="467"/>
      <c r="K125" s="1668">
        <f>SUM(C125:J125)</f>
        <v>0</v>
      </c>
      <c r="L125" s="466"/>
    </row>
    <row r="126" spans="1:14" ht="14.25" thickTop="1" thickBot="1" x14ac:dyDescent="0.25">
      <c r="A126" s="1502"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719</v>
      </c>
      <c r="B127" s="1667" t="s">
        <v>35</v>
      </c>
      <c r="C127" s="1668">
        <f>SUM(C122:C126)</f>
        <v>12072</v>
      </c>
      <c r="D127" s="1668">
        <f t="shared" ref="D127:L127" si="14">SUM(D122:D126)</f>
        <v>1968</v>
      </c>
      <c r="E127" s="1668">
        <f t="shared" si="14"/>
        <v>25157</v>
      </c>
      <c r="F127" s="1668">
        <f t="shared" si="14"/>
        <v>17468</v>
      </c>
      <c r="G127" s="1668">
        <f t="shared" si="14"/>
        <v>71231</v>
      </c>
      <c r="H127" s="1668">
        <f t="shared" si="14"/>
        <v>0</v>
      </c>
      <c r="I127" s="1668">
        <f t="shared" si="14"/>
        <v>0</v>
      </c>
      <c r="J127" s="1668">
        <f t="shared" si="14"/>
        <v>0</v>
      </c>
      <c r="K127" s="1668">
        <f t="shared" si="14"/>
        <v>127896</v>
      </c>
      <c r="L127" s="1668">
        <f t="shared" si="14"/>
        <v>59029</v>
      </c>
    </row>
    <row r="128" spans="1:14" ht="12.75" customHeight="1" thickTop="1" x14ac:dyDescent="0.2">
      <c r="A128" s="1509" t="s">
        <v>980</v>
      </c>
      <c r="B128" s="655" t="s">
        <v>574</v>
      </c>
      <c r="C128" s="656"/>
      <c r="D128" s="656"/>
      <c r="E128" s="656"/>
      <c r="F128" s="656"/>
      <c r="G128" s="656"/>
      <c r="H128" s="656"/>
      <c r="I128" s="535"/>
      <c r="J128" s="535"/>
      <c r="K128" s="1683">
        <f>SUM(C128:J128)</f>
        <v>0</v>
      </c>
      <c r="L128" s="656"/>
    </row>
    <row r="129" spans="1:14" ht="12.75" customHeight="1" thickBot="1" x14ac:dyDescent="0.25">
      <c r="A129" s="1684" t="s">
        <v>811</v>
      </c>
      <c r="B129" s="1685" t="s">
        <v>569</v>
      </c>
      <c r="C129" s="1675">
        <f>SUM(C120,C127,C128)</f>
        <v>12072</v>
      </c>
      <c r="D129" s="1675">
        <f t="shared" ref="D129:L129" si="15">SUM(D120,D127,D128)</f>
        <v>1968</v>
      </c>
      <c r="E129" s="1675">
        <f t="shared" si="15"/>
        <v>25157</v>
      </c>
      <c r="F129" s="1675">
        <f t="shared" si="15"/>
        <v>17468</v>
      </c>
      <c r="G129" s="1675">
        <f t="shared" si="15"/>
        <v>71231</v>
      </c>
      <c r="H129" s="1675">
        <f t="shared" si="15"/>
        <v>0</v>
      </c>
      <c r="I129" s="1675">
        <f t="shared" si="15"/>
        <v>0</v>
      </c>
      <c r="J129" s="1675">
        <f t="shared" si="15"/>
        <v>0</v>
      </c>
      <c r="K129" s="1675">
        <f t="shared" si="15"/>
        <v>127896</v>
      </c>
      <c r="L129" s="1675">
        <f t="shared" si="15"/>
        <v>59029</v>
      </c>
    </row>
    <row r="130" spans="1:14" ht="15.75" customHeight="1" thickTop="1" thickBot="1" x14ac:dyDescent="0.25">
      <c r="A130" s="1608" t="s">
        <v>1036</v>
      </c>
      <c r="B130" s="1609" t="s">
        <v>575</v>
      </c>
      <c r="C130" s="576"/>
      <c r="D130" s="576"/>
      <c r="E130" s="576"/>
      <c r="F130" s="576"/>
      <c r="G130" s="576"/>
      <c r="H130" s="576"/>
      <c r="I130" s="531"/>
      <c r="J130" s="531"/>
      <c r="K130" s="1668">
        <f>SUM(C130:J130)</f>
        <v>0</v>
      </c>
      <c r="L130" s="576"/>
    </row>
    <row r="131" spans="1:14" ht="15.75" customHeight="1" thickTop="1" x14ac:dyDescent="0.2">
      <c r="A131" s="1614" t="s">
        <v>616</v>
      </c>
      <c r="B131" s="1607"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8" t="s">
        <v>496</v>
      </c>
      <c r="B133" s="1839" t="s">
        <v>1841</v>
      </c>
      <c r="C133" s="468"/>
      <c r="D133" s="468"/>
      <c r="E133" s="641"/>
      <c r="F133" s="468"/>
      <c r="G133" s="468"/>
      <c r="H133" s="641"/>
      <c r="I133" s="468"/>
      <c r="J133" s="468"/>
      <c r="K133" s="1819">
        <f>SUM(E133,H133)</f>
        <v>0</v>
      </c>
      <c r="L133" s="641"/>
      <c r="M133" s="206"/>
      <c r="N133" s="206"/>
    </row>
    <row r="134" spans="1:14" x14ac:dyDescent="0.2">
      <c r="A134" s="1502" t="s">
        <v>304</v>
      </c>
      <c r="B134" s="614">
        <v>4120</v>
      </c>
      <c r="C134" s="616"/>
      <c r="D134" s="616"/>
      <c r="E134" s="478"/>
      <c r="F134" s="616"/>
      <c r="G134" s="616"/>
      <c r="H134" s="481"/>
      <c r="I134" s="477"/>
      <c r="J134" s="616"/>
      <c r="K134" s="1670">
        <f>SUM(E134,H134)</f>
        <v>0</v>
      </c>
      <c r="L134" s="481"/>
    </row>
    <row r="135" spans="1:14" x14ac:dyDescent="0.2">
      <c r="A135" s="1502" t="s">
        <v>697</v>
      </c>
      <c r="B135" s="614">
        <v>4140</v>
      </c>
      <c r="C135" s="616"/>
      <c r="D135" s="616"/>
      <c r="E135" s="467"/>
      <c r="F135" s="616"/>
      <c r="G135" s="616"/>
      <c r="H135" s="466"/>
      <c r="I135" s="477"/>
      <c r="J135" s="616"/>
      <c r="K135" s="1670">
        <f>SUM(E135,H135)</f>
        <v>0</v>
      </c>
      <c r="L135" s="466"/>
    </row>
    <row r="136" spans="1:14" x14ac:dyDescent="0.2">
      <c r="A136" s="1506" t="s">
        <v>698</v>
      </c>
      <c r="B136" s="628">
        <v>4190</v>
      </c>
      <c r="C136" s="616"/>
      <c r="D136" s="616"/>
      <c r="E136" s="467"/>
      <c r="F136" s="616"/>
      <c r="G136" s="616"/>
      <c r="H136" s="466"/>
      <c r="I136" s="477"/>
      <c r="J136" s="616"/>
      <c r="K136" s="1670">
        <f>SUM(E136,H136)</f>
        <v>0</v>
      </c>
      <c r="L136" s="466"/>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08" t="s">
        <v>96</v>
      </c>
      <c r="B138" s="643" t="s">
        <v>931</v>
      </c>
      <c r="C138" s="616"/>
      <c r="D138" s="616"/>
      <c r="E138" s="479"/>
      <c r="F138" s="616"/>
      <c r="G138" s="616"/>
      <c r="H138" s="576"/>
      <c r="I138" s="477"/>
      <c r="J138" s="616"/>
      <c r="K138" s="1670">
        <f>SUM(E138,H138)</f>
        <v>0</v>
      </c>
      <c r="L138" s="576"/>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0" t="s">
        <v>1037</v>
      </c>
      <c r="B140" s="1611"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2" t="s">
        <v>87</v>
      </c>
      <c r="B142" s="614">
        <v>5110</v>
      </c>
      <c r="C142" s="616"/>
      <c r="D142" s="616"/>
      <c r="E142" s="616"/>
      <c r="F142" s="616"/>
      <c r="G142" s="616"/>
      <c r="H142" s="481"/>
      <c r="I142" s="468"/>
      <c r="J142" s="616"/>
      <c r="K142" s="1670">
        <f>SUM(H142)</f>
        <v>0</v>
      </c>
      <c r="L142" s="481"/>
    </row>
    <row r="143" spans="1:14" x14ac:dyDescent="0.2">
      <c r="A143" s="1502" t="s">
        <v>88</v>
      </c>
      <c r="B143" s="614">
        <v>5120</v>
      </c>
      <c r="C143" s="616"/>
      <c r="D143" s="616"/>
      <c r="E143" s="616"/>
      <c r="F143" s="616"/>
      <c r="G143" s="616"/>
      <c r="H143" s="466"/>
      <c r="I143" s="468"/>
      <c r="J143" s="616"/>
      <c r="K143" s="1670">
        <f>SUM(H143)</f>
        <v>0</v>
      </c>
      <c r="L143" s="466"/>
    </row>
    <row r="144" spans="1:14" ht="12.75" customHeight="1" x14ac:dyDescent="0.2">
      <c r="A144" s="1502" t="s">
        <v>1170</v>
      </c>
      <c r="B144" s="628" t="s">
        <v>617</v>
      </c>
      <c r="C144" s="616"/>
      <c r="D144" s="616"/>
      <c r="E144" s="616"/>
      <c r="F144" s="616"/>
      <c r="G144" s="616"/>
      <c r="H144" s="466"/>
      <c r="I144" s="468"/>
      <c r="J144" s="616"/>
      <c r="K144" s="1670">
        <f>SUM(H144)</f>
        <v>0</v>
      </c>
      <c r="L144" s="466"/>
    </row>
    <row r="145" spans="1:14" x14ac:dyDescent="0.2">
      <c r="A145" s="1502" t="s">
        <v>89</v>
      </c>
      <c r="B145" s="614" t="s">
        <v>589</v>
      </c>
      <c r="C145" s="616"/>
      <c r="D145" s="616"/>
      <c r="E145" s="616"/>
      <c r="F145" s="616"/>
      <c r="G145" s="616"/>
      <c r="H145" s="466"/>
      <c r="I145" s="468"/>
      <c r="J145" s="616"/>
      <c r="K145" s="1670">
        <f>SUM(H145)</f>
        <v>0</v>
      </c>
      <c r="L145" s="466"/>
    </row>
    <row r="146" spans="1:14" ht="12.75" customHeight="1" x14ac:dyDescent="0.2">
      <c r="A146" s="1502" t="s">
        <v>619</v>
      </c>
      <c r="B146" s="614" t="s">
        <v>618</v>
      </c>
      <c r="C146" s="616"/>
      <c r="D146" s="616"/>
      <c r="E146" s="616"/>
      <c r="F146" s="616"/>
      <c r="G146" s="616"/>
      <c r="H146" s="466"/>
      <c r="I146" s="468"/>
      <c r="J146" s="616"/>
      <c r="K146" s="1670">
        <f>SUM(H146)</f>
        <v>0</v>
      </c>
      <c r="L146" s="466"/>
    </row>
    <row r="147" spans="1:14" ht="12.75" customHeight="1" thickBot="1" x14ac:dyDescent="0.25">
      <c r="A147" s="1513"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row>
    <row r="149" spans="1:14" ht="12.75" customHeight="1" thickBot="1" x14ac:dyDescent="0.25">
      <c r="A149" s="1505"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4" t="s">
        <v>1038</v>
      </c>
      <c r="B150" s="1611" t="s">
        <v>861</v>
      </c>
      <c r="C150" s="616"/>
      <c r="D150" s="616"/>
      <c r="E150" s="616"/>
      <c r="F150" s="616"/>
      <c r="G150" s="616"/>
      <c r="H150" s="662"/>
      <c r="I150" s="521"/>
      <c r="J150" s="616"/>
      <c r="K150" s="623"/>
      <c r="L150" s="573"/>
    </row>
    <row r="151" spans="1:14" ht="12.75" customHeight="1" thickTop="1" thickBot="1" x14ac:dyDescent="0.25">
      <c r="A151" s="2173" t="s">
        <v>620</v>
      </c>
      <c r="B151" s="2155"/>
      <c r="C151" s="1668">
        <f>SUM(C129,C130,C139,C149,C150)</f>
        <v>12072</v>
      </c>
      <c r="D151" s="1668">
        <f t="shared" ref="D151:K151" si="16">SUM(D129,D130,D139,D149,D150)</f>
        <v>1968</v>
      </c>
      <c r="E151" s="1668">
        <f t="shared" si="16"/>
        <v>25157</v>
      </c>
      <c r="F151" s="1668">
        <f t="shared" si="16"/>
        <v>17468</v>
      </c>
      <c r="G151" s="1668">
        <f t="shared" si="16"/>
        <v>71231</v>
      </c>
      <c r="H151" s="1668">
        <f t="shared" si="16"/>
        <v>0</v>
      </c>
      <c r="I151" s="1668">
        <f t="shared" si="16"/>
        <v>0</v>
      </c>
      <c r="J151" s="1668">
        <f t="shared" si="16"/>
        <v>0</v>
      </c>
      <c r="K151" s="1668">
        <f t="shared" si="16"/>
        <v>127896</v>
      </c>
      <c r="L151" s="1668">
        <f>SUM(L129,L130,L139,L149,L150)</f>
        <v>59029</v>
      </c>
    </row>
    <row r="152" spans="1:14" ht="12.75" customHeight="1" thickTop="1" x14ac:dyDescent="0.2">
      <c r="A152" s="2176" t="s">
        <v>1178</v>
      </c>
      <c r="B152" s="2177"/>
      <c r="C152" s="618"/>
      <c r="D152" s="618"/>
      <c r="E152" s="618"/>
      <c r="F152" s="618"/>
      <c r="G152" s="618"/>
      <c r="H152" s="618"/>
      <c r="I152" s="618"/>
      <c r="J152" s="616"/>
      <c r="K152" s="1682">
        <f>'Revenues 9-14'!D268-'Expenditures 15-22'!K151</f>
        <v>-127896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4"/>
      <c r="D154" s="1625"/>
      <c r="E154" s="1625"/>
      <c r="F154" s="1625"/>
      <c r="G154" s="1625"/>
      <c r="H154" s="1625"/>
      <c r="I154" s="1625"/>
      <c r="J154" s="1625"/>
      <c r="K154" s="1625"/>
      <c r="L154" s="1626"/>
      <c r="M154" s="667"/>
      <c r="N154" s="667"/>
    </row>
    <row r="155" spans="1:14" s="620" customFormat="1" ht="15.75" customHeight="1" thickBot="1" x14ac:dyDescent="0.25">
      <c r="A155" s="1615" t="s">
        <v>81</v>
      </c>
      <c r="B155" s="1616" t="s">
        <v>860</v>
      </c>
      <c r="C155" s="616"/>
      <c r="D155" s="616"/>
      <c r="E155" s="616"/>
      <c r="F155" s="616"/>
      <c r="G155" s="616"/>
      <c r="H155" s="1840"/>
      <c r="I155" s="616"/>
      <c r="J155" s="616"/>
      <c r="K155" s="1823"/>
      <c r="L155" s="1840"/>
      <c r="M155" s="619"/>
      <c r="N155" s="619"/>
    </row>
    <row r="156" spans="1:14" s="620" customFormat="1" ht="15.75" customHeight="1" thickTop="1" x14ac:dyDescent="0.2">
      <c r="A156" s="1820" t="s">
        <v>1842</v>
      </c>
      <c r="B156" s="1821"/>
      <c r="C156" s="616"/>
      <c r="D156" s="616"/>
      <c r="E156" s="616"/>
      <c r="F156" s="616"/>
      <c r="G156" s="616"/>
      <c r="H156" s="1841"/>
      <c r="I156" s="616"/>
      <c r="J156" s="616"/>
      <c r="K156" s="1822"/>
      <c r="L156" s="1841"/>
      <c r="M156" s="619"/>
      <c r="N156" s="619"/>
    </row>
    <row r="157" spans="1:14" s="620" customFormat="1" ht="12" x14ac:dyDescent="0.2">
      <c r="A157" s="1824" t="s">
        <v>496</v>
      </c>
      <c r="B157" s="1825" t="s">
        <v>1841</v>
      </c>
      <c r="C157" s="616"/>
      <c r="D157" s="616"/>
      <c r="E157" s="616"/>
      <c r="F157" s="616"/>
      <c r="G157" s="616"/>
      <c r="H157" s="641"/>
      <c r="I157" s="616"/>
      <c r="J157" s="616"/>
      <c r="K157" s="1669">
        <f>H157</f>
        <v>0</v>
      </c>
      <c r="L157" s="467"/>
      <c r="M157" s="619"/>
      <c r="N157" s="619"/>
    </row>
    <row r="158" spans="1:14" s="620" customFormat="1" ht="12" x14ac:dyDescent="0.2">
      <c r="A158" s="1824" t="s">
        <v>304</v>
      </c>
      <c r="B158" s="1825" t="s">
        <v>1843</v>
      </c>
      <c r="C158" s="616"/>
      <c r="D158" s="616"/>
      <c r="E158" s="616"/>
      <c r="F158" s="616"/>
      <c r="G158" s="616"/>
      <c r="H158" s="467"/>
      <c r="I158" s="616"/>
      <c r="J158" s="616"/>
      <c r="K158" s="1669">
        <f>H158</f>
        <v>0</v>
      </c>
      <c r="L158" s="467"/>
      <c r="M158" s="619"/>
      <c r="N158" s="619"/>
    </row>
    <row r="159" spans="1:14" s="620" customFormat="1" ht="12" x14ac:dyDescent="0.2">
      <c r="A159" s="1824" t="s">
        <v>1844</v>
      </c>
      <c r="B159" s="1825" t="s">
        <v>558</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1845</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0" t="s">
        <v>82</v>
      </c>
      <c r="B161" s="1611"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2" t="s">
        <v>87</v>
      </c>
      <c r="B163" s="614">
        <v>5110</v>
      </c>
      <c r="C163" s="616"/>
      <c r="D163" s="616"/>
      <c r="E163" s="616"/>
      <c r="F163" s="616"/>
      <c r="G163" s="616"/>
      <c r="H163" s="466"/>
      <c r="I163" s="616"/>
      <c r="J163" s="616"/>
      <c r="K163" s="1669">
        <f>SUM(C163:J163)</f>
        <v>0</v>
      </c>
      <c r="L163" s="466"/>
    </row>
    <row r="164" spans="1:14" x14ac:dyDescent="0.2">
      <c r="A164" s="1502" t="s">
        <v>88</v>
      </c>
      <c r="B164" s="614">
        <v>5120</v>
      </c>
      <c r="C164" s="616"/>
      <c r="D164" s="616"/>
      <c r="E164" s="616"/>
      <c r="F164" s="616"/>
      <c r="G164" s="616"/>
      <c r="H164" s="466"/>
      <c r="I164" s="616"/>
      <c r="J164" s="616"/>
      <c r="K164" s="1669">
        <f>SUM(C164:J164)</f>
        <v>0</v>
      </c>
      <c r="L164" s="466"/>
    </row>
    <row r="165" spans="1:14" ht="12.75" customHeight="1" x14ac:dyDescent="0.2">
      <c r="A165" s="1502" t="s">
        <v>1170</v>
      </c>
      <c r="B165" s="614" t="s">
        <v>617</v>
      </c>
      <c r="C165" s="616"/>
      <c r="D165" s="616"/>
      <c r="E165" s="616"/>
      <c r="F165" s="616"/>
      <c r="G165" s="616"/>
      <c r="H165" s="466"/>
      <c r="I165" s="616"/>
      <c r="J165" s="616"/>
      <c r="K165" s="1669">
        <f>SUM(C165:J165)</f>
        <v>0</v>
      </c>
      <c r="L165" s="466"/>
    </row>
    <row r="166" spans="1:14" x14ac:dyDescent="0.2">
      <c r="A166" s="1502" t="s">
        <v>89</v>
      </c>
      <c r="B166" s="628" t="s">
        <v>589</v>
      </c>
      <c r="C166" s="616"/>
      <c r="D166" s="616"/>
      <c r="E166" s="616"/>
      <c r="F166" s="616"/>
      <c r="G166" s="616"/>
      <c r="H166" s="466"/>
      <c r="I166" s="616"/>
      <c r="J166" s="616"/>
      <c r="K166" s="1669">
        <f>SUM(C166:J166)</f>
        <v>0</v>
      </c>
      <c r="L166" s="466"/>
    </row>
    <row r="167" spans="1:14" ht="12.75" customHeight="1" x14ac:dyDescent="0.2">
      <c r="A167" s="1502" t="s">
        <v>619</v>
      </c>
      <c r="B167" s="614" t="s">
        <v>618</v>
      </c>
      <c r="C167" s="616"/>
      <c r="D167" s="616"/>
      <c r="E167" s="616"/>
      <c r="F167" s="616"/>
      <c r="G167" s="616"/>
      <c r="H167" s="466"/>
      <c r="I167" s="616"/>
      <c r="J167" s="616"/>
      <c r="K167" s="1669">
        <f>SUM(C167:J167)</f>
        <v>0</v>
      </c>
      <c r="L167" s="466"/>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c r="I169" s="616"/>
      <c r="J169" s="616"/>
      <c r="K169" s="1669">
        <f>SUM(C169:H169)</f>
        <v>0</v>
      </c>
      <c r="L169" s="656"/>
    </row>
    <row r="170" spans="1:14" ht="33.75" customHeight="1" x14ac:dyDescent="0.2">
      <c r="A170" s="669" t="s">
        <v>1670</v>
      </c>
      <c r="B170" s="671" t="s">
        <v>31</v>
      </c>
      <c r="C170" s="616"/>
      <c r="D170" s="616"/>
      <c r="E170" s="616"/>
      <c r="F170" s="616"/>
      <c r="G170" s="616"/>
      <c r="H170" s="569"/>
      <c r="I170" s="616"/>
      <c r="J170" s="616"/>
      <c r="K170" s="1669">
        <f>SUM(C170:J170)</f>
        <v>0</v>
      </c>
      <c r="L170" s="569"/>
    </row>
    <row r="171" spans="1:14" ht="15.75" customHeight="1" x14ac:dyDescent="0.2">
      <c r="A171" s="621" t="s">
        <v>766</v>
      </c>
      <c r="B171" s="672" t="s">
        <v>84</v>
      </c>
      <c r="C171" s="616"/>
      <c r="D171" s="616"/>
      <c r="E171" s="466"/>
      <c r="F171" s="616"/>
      <c r="G171" s="616"/>
      <c r="H171" s="569"/>
      <c r="I171" s="477"/>
      <c r="J171" s="616"/>
      <c r="K171" s="1669">
        <f>SUM(C171:J171)</f>
        <v>0</v>
      </c>
      <c r="L171" s="569"/>
    </row>
    <row r="172" spans="1:14" ht="12.75" customHeight="1" thickBot="1" x14ac:dyDescent="0.25">
      <c r="A172" s="1666" t="s">
        <v>638</v>
      </c>
      <c r="B172" s="1667" t="s">
        <v>492</v>
      </c>
      <c r="C172" s="616"/>
      <c r="D172" s="616"/>
      <c r="E172" s="1675">
        <f>SUM(E168,E169,E170,E171)</f>
        <v>0</v>
      </c>
      <c r="F172" s="616"/>
      <c r="G172" s="616"/>
      <c r="H172" s="1675">
        <f>SUM(H168,H169,H170,H171)</f>
        <v>0</v>
      </c>
      <c r="I172" s="638"/>
      <c r="J172" s="616"/>
      <c r="K172" s="1675">
        <f>SUM(K168,K169,K170,K171)</f>
        <v>0</v>
      </c>
      <c r="L172" s="1675">
        <f>SUM(L168,L169,L170,L171)</f>
        <v>0</v>
      </c>
    </row>
    <row r="173" spans="1:14" ht="15.75" customHeight="1" thickTop="1" thickBot="1" x14ac:dyDescent="0.25">
      <c r="A173" s="1617" t="s">
        <v>85</v>
      </c>
      <c r="B173" s="1609" t="s">
        <v>861</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0</v>
      </c>
      <c r="I174" s="638"/>
      <c r="J174" s="616"/>
      <c r="K174" s="1675">
        <f>SUM(K160,K172,K173)</f>
        <v>0</v>
      </c>
      <c r="L174" s="1675">
        <f>SUM(L160,L172,L173)</f>
        <v>0</v>
      </c>
    </row>
    <row r="175" spans="1:14" ht="13.5" thickTop="1" x14ac:dyDescent="0.2">
      <c r="A175" s="2183" t="s">
        <v>996</v>
      </c>
      <c r="B175" s="2184"/>
      <c r="C175" s="616"/>
      <c r="D175" s="616"/>
      <c r="E175" s="616"/>
      <c r="F175" s="616"/>
      <c r="G175" s="616"/>
      <c r="H175" s="618"/>
      <c r="I175" s="616"/>
      <c r="J175" s="616"/>
      <c r="K175" s="1682">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2" t="s">
        <v>937</v>
      </c>
      <c r="B177" s="1553"/>
      <c r="C177" s="1549"/>
      <c r="D177" s="1550"/>
      <c r="E177" s="1550"/>
      <c r="F177" s="1550"/>
      <c r="G177" s="1550"/>
      <c r="H177" s="1550"/>
      <c r="I177" s="1550"/>
      <c r="J177" s="1550"/>
      <c r="K177" s="1550"/>
      <c r="L177" s="1551"/>
      <c r="M177" s="609"/>
      <c r="N177" s="609"/>
    </row>
    <row r="178" spans="1:14" s="674" customFormat="1" ht="15.75" customHeight="1" x14ac:dyDescent="0.2">
      <c r="A178" s="1618" t="s">
        <v>938</v>
      </c>
      <c r="B178" s="1619"/>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2" t="s">
        <v>2055</v>
      </c>
      <c r="B180" s="614" t="s">
        <v>716</v>
      </c>
      <c r="C180" s="466"/>
      <c r="D180" s="466"/>
      <c r="E180" s="466"/>
      <c r="F180" s="466"/>
      <c r="G180" s="466"/>
      <c r="H180" s="466"/>
      <c r="I180" s="467"/>
      <c r="J180" s="467"/>
      <c r="K180" s="1669">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2" t="s">
        <v>953</v>
      </c>
      <c r="B182" s="614">
        <v>2550</v>
      </c>
      <c r="C182" s="466"/>
      <c r="D182" s="466"/>
      <c r="E182" s="466"/>
      <c r="F182" s="466"/>
      <c r="G182" s="466"/>
      <c r="H182" s="466"/>
      <c r="I182" s="467"/>
      <c r="J182" s="467"/>
      <c r="K182" s="1669">
        <f>SUM(C182:J182)</f>
        <v>0</v>
      </c>
      <c r="L182" s="466"/>
    </row>
    <row r="183" spans="1:14" ht="12.75" customHeight="1" thickBot="1" x14ac:dyDescent="0.25">
      <c r="A183" s="1507" t="s">
        <v>980</v>
      </c>
      <c r="B183" s="677">
        <v>2900</v>
      </c>
      <c r="C183" s="573"/>
      <c r="D183" s="573"/>
      <c r="E183" s="573"/>
      <c r="F183" s="573"/>
      <c r="G183" s="573"/>
      <c r="H183" s="573"/>
      <c r="I183" s="532"/>
      <c r="J183" s="532"/>
      <c r="K183" s="1675">
        <f>SUM(C183:J183)</f>
        <v>0</v>
      </c>
      <c r="L183" s="573"/>
    </row>
    <row r="184" spans="1:14" ht="12.75" customHeight="1" thickTop="1" thickBot="1" x14ac:dyDescent="0.25">
      <c r="A184" s="1689" t="s">
        <v>811</v>
      </c>
      <c r="B184" s="1667" t="s">
        <v>569</v>
      </c>
      <c r="C184" s="1675">
        <f>SUM(C180,C182,C183)</f>
        <v>0</v>
      </c>
      <c r="D184" s="1675">
        <f t="shared" ref="D184:J184" si="17">SUM(D180,D182,D183)</f>
        <v>0</v>
      </c>
      <c r="E184" s="1675">
        <f t="shared" si="17"/>
        <v>0</v>
      </c>
      <c r="F184" s="1675">
        <f t="shared" si="17"/>
        <v>0</v>
      </c>
      <c r="G184" s="1675">
        <f t="shared" si="17"/>
        <v>0</v>
      </c>
      <c r="H184" s="1675">
        <f t="shared" si="17"/>
        <v>0</v>
      </c>
      <c r="I184" s="1675">
        <f t="shared" si="17"/>
        <v>0</v>
      </c>
      <c r="J184" s="1675">
        <f t="shared" si="17"/>
        <v>0</v>
      </c>
      <c r="K184" s="1675">
        <f>SUM(K180,K182,K183)</f>
        <v>0</v>
      </c>
      <c r="L184" s="1675">
        <f>SUM(L180, L182:L183)</f>
        <v>0</v>
      </c>
    </row>
    <row r="185" spans="1:14" ht="15.75" customHeight="1" thickTop="1" thickBot="1" x14ac:dyDescent="0.25">
      <c r="A185" s="1620" t="s">
        <v>939</v>
      </c>
      <c r="B185" s="1609">
        <v>3000</v>
      </c>
      <c r="C185" s="576"/>
      <c r="D185" s="576"/>
      <c r="E185" s="576"/>
      <c r="F185" s="576"/>
      <c r="G185" s="576"/>
      <c r="H185" s="576"/>
      <c r="I185" s="531"/>
      <c r="J185" s="531"/>
      <c r="K185" s="1668">
        <f>SUM(C185:J185)</f>
        <v>0</v>
      </c>
      <c r="L185" s="576"/>
    </row>
    <row r="186" spans="1:14" s="674" customFormat="1" ht="15.75" customHeight="1" thickTop="1" x14ac:dyDescent="0.2">
      <c r="A186" s="1604" t="s">
        <v>91</v>
      </c>
      <c r="B186" s="1607"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2" t="s">
        <v>496</v>
      </c>
      <c r="B188" s="614">
        <v>4110</v>
      </c>
      <c r="C188" s="616"/>
      <c r="D188" s="616"/>
      <c r="E188" s="466"/>
      <c r="F188" s="616"/>
      <c r="G188" s="616"/>
      <c r="H188" s="466"/>
      <c r="I188" s="477"/>
      <c r="J188" s="616"/>
      <c r="K188" s="1669">
        <f t="shared" ref="K188:K193" si="18">SUM(E188,H188)</f>
        <v>0</v>
      </c>
      <c r="L188" s="466"/>
    </row>
    <row r="189" spans="1:14" x14ac:dyDescent="0.2">
      <c r="A189" s="1502" t="s">
        <v>304</v>
      </c>
      <c r="B189" s="614">
        <v>4120</v>
      </c>
      <c r="C189" s="616"/>
      <c r="D189" s="616"/>
      <c r="E189" s="466"/>
      <c r="F189" s="616"/>
      <c r="G189" s="616"/>
      <c r="H189" s="466"/>
      <c r="I189" s="477"/>
      <c r="J189" s="616"/>
      <c r="K189" s="1669">
        <f t="shared" si="18"/>
        <v>0</v>
      </c>
      <c r="L189" s="466"/>
    </row>
    <row r="190" spans="1:14" x14ac:dyDescent="0.2">
      <c r="A190" s="1502" t="s">
        <v>305</v>
      </c>
      <c r="B190" s="628">
        <v>4130</v>
      </c>
      <c r="C190" s="616"/>
      <c r="D190" s="616"/>
      <c r="E190" s="466"/>
      <c r="F190" s="616"/>
      <c r="G190" s="616"/>
      <c r="H190" s="466"/>
      <c r="I190" s="477"/>
      <c r="J190" s="616"/>
      <c r="K190" s="1669">
        <f t="shared" si="18"/>
        <v>0</v>
      </c>
      <c r="L190" s="466"/>
    </row>
    <row r="191" spans="1:14" x14ac:dyDescent="0.2">
      <c r="A191" s="1502" t="s">
        <v>697</v>
      </c>
      <c r="B191" s="614">
        <v>4140</v>
      </c>
      <c r="C191" s="616"/>
      <c r="D191" s="616"/>
      <c r="E191" s="466"/>
      <c r="F191" s="616"/>
      <c r="G191" s="616"/>
      <c r="H191" s="466"/>
      <c r="I191" s="477"/>
      <c r="J191" s="616"/>
      <c r="K191" s="1669">
        <f t="shared" si="18"/>
        <v>0</v>
      </c>
      <c r="L191" s="466"/>
    </row>
    <row r="192" spans="1:14" x14ac:dyDescent="0.2">
      <c r="A192" s="1502" t="s">
        <v>86</v>
      </c>
      <c r="B192" s="614">
        <v>4170</v>
      </c>
      <c r="C192" s="616"/>
      <c r="D192" s="616"/>
      <c r="E192" s="466"/>
      <c r="F192" s="616"/>
      <c r="G192" s="616"/>
      <c r="H192" s="466"/>
      <c r="I192" s="477"/>
      <c r="J192" s="616"/>
      <c r="K192" s="1669">
        <f t="shared" si="18"/>
        <v>0</v>
      </c>
      <c r="L192" s="466"/>
    </row>
    <row r="193" spans="1:14" x14ac:dyDescent="0.2">
      <c r="A193" s="1506" t="s">
        <v>698</v>
      </c>
      <c r="B193" s="628">
        <v>4190</v>
      </c>
      <c r="C193" s="616"/>
      <c r="D193" s="616"/>
      <c r="E193" s="466"/>
      <c r="F193" s="616"/>
      <c r="G193" s="616"/>
      <c r="H193" s="466"/>
      <c r="I193" s="477"/>
      <c r="J193" s="616"/>
      <c r="K193" s="1669">
        <f t="shared" si="18"/>
        <v>0</v>
      </c>
      <c r="L193" s="466"/>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0" t="s">
        <v>940</v>
      </c>
      <c r="B197" s="1607"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2" t="s">
        <v>87</v>
      </c>
      <c r="B199" s="614">
        <v>5110</v>
      </c>
      <c r="C199" s="616"/>
      <c r="D199" s="616"/>
      <c r="E199" s="616"/>
      <c r="F199" s="616"/>
      <c r="G199" s="616"/>
      <c r="H199" s="466"/>
      <c r="I199" s="616"/>
      <c r="J199" s="616"/>
      <c r="K199" s="1669">
        <f>SUM(H199)</f>
        <v>0</v>
      </c>
      <c r="L199" s="466"/>
    </row>
    <row r="200" spans="1:14" x14ac:dyDescent="0.2">
      <c r="A200" s="1502" t="s">
        <v>88</v>
      </c>
      <c r="B200" s="614">
        <v>5120</v>
      </c>
      <c r="C200" s="616"/>
      <c r="D200" s="616"/>
      <c r="E200" s="616"/>
      <c r="F200" s="616"/>
      <c r="G200" s="616"/>
      <c r="H200" s="466"/>
      <c r="I200" s="616"/>
      <c r="J200" s="616"/>
      <c r="K200" s="1669">
        <f>SUM(H200)</f>
        <v>0</v>
      </c>
      <c r="L200" s="466"/>
    </row>
    <row r="201" spans="1:14" ht="12.75" customHeight="1" x14ac:dyDescent="0.2">
      <c r="A201" s="1502" t="s">
        <v>1170</v>
      </c>
      <c r="B201" s="628" t="s">
        <v>617</v>
      </c>
      <c r="C201" s="616"/>
      <c r="D201" s="616"/>
      <c r="E201" s="616"/>
      <c r="F201" s="616"/>
      <c r="G201" s="616"/>
      <c r="H201" s="466"/>
      <c r="I201" s="616"/>
      <c r="J201" s="616"/>
      <c r="K201" s="1669">
        <f>SUM(H201)</f>
        <v>0</v>
      </c>
      <c r="L201" s="466"/>
    </row>
    <row r="202" spans="1:14" x14ac:dyDescent="0.2">
      <c r="A202" s="1502" t="s">
        <v>89</v>
      </c>
      <c r="B202" s="614" t="s">
        <v>589</v>
      </c>
      <c r="C202" s="616"/>
      <c r="D202" s="616"/>
      <c r="E202" s="616"/>
      <c r="F202" s="616"/>
      <c r="G202" s="616"/>
      <c r="H202" s="466"/>
      <c r="I202" s="616"/>
      <c r="J202" s="616"/>
      <c r="K202" s="1669">
        <f>SUM(H202)</f>
        <v>0</v>
      </c>
      <c r="L202" s="466"/>
    </row>
    <row r="203" spans="1:14" x14ac:dyDescent="0.2">
      <c r="A203" s="1514" t="s">
        <v>619</v>
      </c>
      <c r="B203" s="614" t="s">
        <v>618</v>
      </c>
      <c r="C203" s="616"/>
      <c r="D203" s="616"/>
      <c r="E203" s="616"/>
      <c r="F203" s="616"/>
      <c r="G203" s="616"/>
      <c r="H203" s="471"/>
      <c r="I203" s="616"/>
      <c r="J203" s="616"/>
      <c r="K203" s="1669">
        <f>SUM(H203)</f>
        <v>0</v>
      </c>
      <c r="L203" s="471"/>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row>
    <row r="206" spans="1:14" ht="30" customHeight="1" x14ac:dyDescent="0.2">
      <c r="A206" s="681" t="s">
        <v>1671</v>
      </c>
      <c r="B206" s="672" t="s">
        <v>31</v>
      </c>
      <c r="C206" s="616"/>
      <c r="D206" s="616"/>
      <c r="E206" s="616"/>
      <c r="F206" s="616"/>
      <c r="G206" s="616"/>
      <c r="H206" s="466"/>
      <c r="I206" s="616"/>
      <c r="J206" s="616"/>
      <c r="K206" s="1669">
        <f>SUM(H206)</f>
        <v>0</v>
      </c>
      <c r="L206" s="466"/>
    </row>
    <row r="207" spans="1:14" ht="15.75" customHeight="1" x14ac:dyDescent="0.2">
      <c r="A207" s="621" t="s">
        <v>766</v>
      </c>
      <c r="B207" s="672" t="s">
        <v>84</v>
      </c>
      <c r="C207" s="616"/>
      <c r="D207" s="616"/>
      <c r="E207" s="616"/>
      <c r="F207" s="616"/>
      <c r="G207" s="616"/>
      <c r="H207" s="467"/>
      <c r="I207" s="616"/>
      <c r="J207" s="616"/>
      <c r="K207" s="1669">
        <f>H207</f>
        <v>0</v>
      </c>
      <c r="L207" s="466"/>
    </row>
    <row r="208" spans="1:14" ht="12.75" customHeight="1" thickBot="1" x14ac:dyDescent="0.25">
      <c r="A208" s="1684" t="s">
        <v>638</v>
      </c>
      <c r="B208" s="1685" t="s">
        <v>492</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4" t="s">
        <v>872</v>
      </c>
      <c r="B209" s="1611" t="s">
        <v>861</v>
      </c>
      <c r="C209" s="623"/>
      <c r="D209" s="623"/>
      <c r="E209" s="623"/>
      <c r="F209" s="623"/>
      <c r="G209" s="623"/>
      <c r="H209" s="623"/>
      <c r="I209" s="616"/>
      <c r="J209" s="616"/>
      <c r="K209" s="623"/>
      <c r="L209" s="576"/>
    </row>
    <row r="210" spans="1:14" ht="12.75" customHeight="1" thickTop="1" thickBot="1" x14ac:dyDescent="0.25">
      <c r="A210" s="1690" t="s">
        <v>277</v>
      </c>
      <c r="B210" s="1691"/>
      <c r="C210" s="1668">
        <f>SUM(C184,C185)</f>
        <v>0</v>
      </c>
      <c r="D210" s="1668">
        <f>SUM(D184,D185)</f>
        <v>0</v>
      </c>
      <c r="E210" s="1668">
        <f>SUM(E184,E185,E196)</f>
        <v>0</v>
      </c>
      <c r="F210" s="1668">
        <f>SUM(F184,F185)</f>
        <v>0</v>
      </c>
      <c r="G210" s="1668">
        <f>SUM(G184,G185)</f>
        <v>0</v>
      </c>
      <c r="H210" s="1668">
        <f>SUM(H184,H185,H196,H208,H209)</f>
        <v>0</v>
      </c>
      <c r="I210" s="1668">
        <f>SUM(I184,I185)</f>
        <v>0</v>
      </c>
      <c r="J210" s="1668">
        <f>SUM(J184,J185)</f>
        <v>0</v>
      </c>
      <c r="K210" s="1669">
        <f>SUM(K184,K185,K196,K208,K209)</f>
        <v>0</v>
      </c>
      <c r="L210" s="1668">
        <f>SUM(L184,L185,L196,L208,L209)</f>
        <v>0</v>
      </c>
    </row>
    <row r="211" spans="1:14" ht="13.5" thickTop="1" x14ac:dyDescent="0.2">
      <c r="A211" s="2183" t="s">
        <v>996</v>
      </c>
      <c r="B211" s="2184"/>
      <c r="C211" s="618"/>
      <c r="D211" s="618"/>
      <c r="E211" s="618"/>
      <c r="F211" s="618"/>
      <c r="G211" s="618"/>
      <c r="H211" s="618"/>
      <c r="I211" s="616"/>
      <c r="J211" s="616"/>
      <c r="K211" s="1682">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49"/>
      <c r="D213" s="1550"/>
      <c r="E213" s="1550"/>
      <c r="F213" s="1550"/>
      <c r="G213" s="1550"/>
      <c r="H213" s="1550"/>
      <c r="I213" s="1550"/>
      <c r="J213" s="1550"/>
      <c r="K213" s="1550"/>
      <c r="L213" s="1551"/>
      <c r="M213" s="609"/>
      <c r="N213" s="609"/>
    </row>
    <row r="214" spans="1:14" s="674" customFormat="1" ht="15.75" customHeight="1" x14ac:dyDescent="0.2">
      <c r="A214" s="1621" t="s">
        <v>873</v>
      </c>
      <c r="B214" s="1613" t="s">
        <v>570</v>
      </c>
      <c r="C214" s="616"/>
      <c r="D214" s="623"/>
      <c r="E214" s="616"/>
      <c r="F214" s="616"/>
      <c r="G214" s="616"/>
      <c r="H214" s="616"/>
      <c r="I214" s="616"/>
      <c r="J214" s="616"/>
      <c r="K214" s="623"/>
      <c r="L214" s="623"/>
      <c r="M214" s="665"/>
      <c r="N214" s="665"/>
    </row>
    <row r="215" spans="1:14" x14ac:dyDescent="0.2">
      <c r="A215" s="1502" t="s">
        <v>961</v>
      </c>
      <c r="B215" s="614">
        <v>1100</v>
      </c>
      <c r="C215" s="616"/>
      <c r="D215" s="466"/>
      <c r="E215" s="616"/>
      <c r="F215" s="616"/>
      <c r="G215" s="616"/>
      <c r="H215" s="616"/>
      <c r="I215" s="616"/>
      <c r="J215" s="616"/>
      <c r="K215" s="1669">
        <f>D215</f>
        <v>0</v>
      </c>
      <c r="L215" s="466"/>
    </row>
    <row r="216" spans="1:14" x14ac:dyDescent="0.2">
      <c r="A216" s="1502" t="s">
        <v>163</v>
      </c>
      <c r="B216" s="614" t="s">
        <v>967</v>
      </c>
      <c r="C216" s="616"/>
      <c r="D216" s="467"/>
      <c r="E216" s="616"/>
      <c r="F216" s="616"/>
      <c r="G216" s="616"/>
      <c r="H216" s="616"/>
      <c r="I216" s="616"/>
      <c r="J216" s="616"/>
      <c r="K216" s="1669">
        <f t="shared" ref="K216:K228" si="19">D216</f>
        <v>0</v>
      </c>
      <c r="L216" s="466"/>
    </row>
    <row r="217" spans="1:14" x14ac:dyDescent="0.2">
      <c r="A217" s="1502" t="s">
        <v>164</v>
      </c>
      <c r="B217" s="614">
        <v>1200</v>
      </c>
      <c r="C217" s="616"/>
      <c r="D217" s="466"/>
      <c r="E217" s="616"/>
      <c r="F217" s="616"/>
      <c r="G217" s="616"/>
      <c r="H217" s="616"/>
      <c r="I217" s="616"/>
      <c r="J217" s="616"/>
      <c r="K217" s="1669">
        <f t="shared" si="19"/>
        <v>0</v>
      </c>
      <c r="L217" s="466"/>
    </row>
    <row r="218" spans="1:14" x14ac:dyDescent="0.2">
      <c r="A218" s="1502" t="s">
        <v>278</v>
      </c>
      <c r="B218" s="614" t="s">
        <v>968</v>
      </c>
      <c r="C218" s="616"/>
      <c r="D218" s="467"/>
      <c r="E218" s="616"/>
      <c r="F218" s="616"/>
      <c r="G218" s="616"/>
      <c r="H218" s="616"/>
      <c r="I218" s="616"/>
      <c r="J218" s="616"/>
      <c r="K218" s="1669">
        <f t="shared" si="19"/>
        <v>0</v>
      </c>
      <c r="L218" s="466"/>
    </row>
    <row r="219" spans="1:14" x14ac:dyDescent="0.2">
      <c r="A219" s="1502" t="s">
        <v>279</v>
      </c>
      <c r="B219" s="614">
        <v>1250</v>
      </c>
      <c r="C219" s="616"/>
      <c r="D219" s="466"/>
      <c r="E219" s="616"/>
      <c r="F219" s="616"/>
      <c r="G219" s="616"/>
      <c r="H219" s="616"/>
      <c r="I219" s="616"/>
      <c r="J219" s="616"/>
      <c r="K219" s="1669">
        <f t="shared" si="19"/>
        <v>0</v>
      </c>
      <c r="L219" s="466"/>
    </row>
    <row r="220" spans="1:14" x14ac:dyDescent="0.2">
      <c r="A220" s="1502" t="s">
        <v>280</v>
      </c>
      <c r="B220" s="614" t="s">
        <v>161</v>
      </c>
      <c r="C220" s="616"/>
      <c r="D220" s="467"/>
      <c r="E220" s="616"/>
      <c r="F220" s="616"/>
      <c r="G220" s="616"/>
      <c r="H220" s="616"/>
      <c r="I220" s="616"/>
      <c r="J220" s="616"/>
      <c r="K220" s="1669">
        <f t="shared" si="19"/>
        <v>0</v>
      </c>
      <c r="L220" s="466"/>
    </row>
    <row r="221" spans="1:14" x14ac:dyDescent="0.2">
      <c r="A221" s="1502" t="s">
        <v>962</v>
      </c>
      <c r="B221" s="614">
        <v>1300</v>
      </c>
      <c r="C221" s="616"/>
      <c r="D221" s="466"/>
      <c r="E221" s="616"/>
      <c r="F221" s="616"/>
      <c r="G221" s="616"/>
      <c r="H221" s="616"/>
      <c r="I221" s="616"/>
      <c r="J221" s="616"/>
      <c r="K221" s="1669">
        <f t="shared" si="19"/>
        <v>0</v>
      </c>
      <c r="L221" s="466"/>
    </row>
    <row r="222" spans="1:14" x14ac:dyDescent="0.2">
      <c r="A222" s="1502" t="s">
        <v>723</v>
      </c>
      <c r="B222" s="614">
        <v>1400</v>
      </c>
      <c r="C222" s="616"/>
      <c r="D222" s="466"/>
      <c r="E222" s="616"/>
      <c r="F222" s="616"/>
      <c r="G222" s="616"/>
      <c r="H222" s="616"/>
      <c r="I222" s="616"/>
      <c r="J222" s="616"/>
      <c r="K222" s="1669">
        <f t="shared" si="19"/>
        <v>0</v>
      </c>
      <c r="L222" s="466"/>
    </row>
    <row r="223" spans="1:14" x14ac:dyDescent="0.2">
      <c r="A223" s="1502" t="s">
        <v>963</v>
      </c>
      <c r="B223" s="614">
        <v>1500</v>
      </c>
      <c r="C223" s="616"/>
      <c r="D223" s="466"/>
      <c r="E223" s="616"/>
      <c r="F223" s="616"/>
      <c r="G223" s="616"/>
      <c r="H223" s="616"/>
      <c r="I223" s="616"/>
      <c r="J223" s="616"/>
      <c r="K223" s="1669">
        <f t="shared" si="19"/>
        <v>0</v>
      </c>
      <c r="L223" s="466"/>
    </row>
    <row r="224" spans="1:14" x14ac:dyDescent="0.2">
      <c r="A224" s="1502" t="s">
        <v>964</v>
      </c>
      <c r="B224" s="614">
        <v>1600</v>
      </c>
      <c r="C224" s="616"/>
      <c r="D224" s="466"/>
      <c r="E224" s="616"/>
      <c r="F224" s="616"/>
      <c r="G224" s="616"/>
      <c r="H224" s="616"/>
      <c r="I224" s="616"/>
      <c r="J224" s="616"/>
      <c r="K224" s="1669">
        <f t="shared" si="19"/>
        <v>0</v>
      </c>
      <c r="L224" s="466"/>
    </row>
    <row r="225" spans="1:12" x14ac:dyDescent="0.2">
      <c r="A225" s="1502" t="s">
        <v>987</v>
      </c>
      <c r="B225" s="614">
        <v>1650</v>
      </c>
      <c r="C225" s="616"/>
      <c r="D225" s="466"/>
      <c r="E225" s="616"/>
      <c r="F225" s="616"/>
      <c r="G225" s="616"/>
      <c r="H225" s="616"/>
      <c r="I225" s="616"/>
      <c r="J225" s="616"/>
      <c r="K225" s="1669">
        <f t="shared" si="19"/>
        <v>0</v>
      </c>
      <c r="L225" s="466"/>
    </row>
    <row r="226" spans="1:12" x14ac:dyDescent="0.2">
      <c r="A226" s="1502" t="s">
        <v>724</v>
      </c>
      <c r="B226" s="614" t="s">
        <v>162</v>
      </c>
      <c r="C226" s="616"/>
      <c r="D226" s="467"/>
      <c r="E226" s="616"/>
      <c r="F226" s="616"/>
      <c r="G226" s="616"/>
      <c r="H226" s="616"/>
      <c r="I226" s="616"/>
      <c r="J226" s="616"/>
      <c r="K226" s="1669">
        <f t="shared" si="19"/>
        <v>0</v>
      </c>
      <c r="L226" s="466"/>
    </row>
    <row r="227" spans="1:12" x14ac:dyDescent="0.2">
      <c r="A227" s="1502" t="s">
        <v>1087</v>
      </c>
      <c r="B227" s="614">
        <v>1800</v>
      </c>
      <c r="C227" s="616"/>
      <c r="D227" s="466"/>
      <c r="E227" s="616"/>
      <c r="F227" s="616"/>
      <c r="G227" s="616"/>
      <c r="H227" s="616"/>
      <c r="I227" s="616"/>
      <c r="J227" s="616"/>
      <c r="K227" s="1669">
        <f t="shared" si="19"/>
        <v>0</v>
      </c>
      <c r="L227" s="466"/>
    </row>
    <row r="228" spans="1:12" x14ac:dyDescent="0.2">
      <c r="A228" s="1502" t="s">
        <v>1088</v>
      </c>
      <c r="B228" s="614">
        <v>1900</v>
      </c>
      <c r="C228" s="616"/>
      <c r="D228" s="466"/>
      <c r="E228" s="616"/>
      <c r="F228" s="616"/>
      <c r="G228" s="616"/>
      <c r="H228" s="616"/>
      <c r="I228" s="616"/>
      <c r="J228" s="616"/>
      <c r="K228" s="1669">
        <f t="shared" si="19"/>
        <v>0</v>
      </c>
      <c r="L228" s="466"/>
    </row>
    <row r="229" spans="1:12" ht="12.75" customHeight="1" thickBot="1" x14ac:dyDescent="0.25">
      <c r="A229" s="1666" t="s">
        <v>715</v>
      </c>
      <c r="B229" s="1673" t="s">
        <v>570</v>
      </c>
      <c r="C229" s="616"/>
      <c r="D229" s="1668">
        <f>SUM(D215:D228)</f>
        <v>0</v>
      </c>
      <c r="E229" s="616"/>
      <c r="F229" s="616"/>
      <c r="G229" s="616"/>
      <c r="H229" s="616"/>
      <c r="I229" s="616"/>
      <c r="J229" s="616"/>
      <c r="K229" s="1668">
        <f>SUM(K215:K228)</f>
        <v>0</v>
      </c>
      <c r="L229" s="1668">
        <f>SUM(L215:L228)</f>
        <v>0</v>
      </c>
    </row>
    <row r="230" spans="1:12" ht="15.75" customHeight="1" thickTop="1" x14ac:dyDescent="0.2">
      <c r="A230" s="1610" t="s">
        <v>874</v>
      </c>
      <c r="B230" s="1611"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2" t="s">
        <v>1089</v>
      </c>
      <c r="B232" s="614">
        <v>2110</v>
      </c>
      <c r="C232" s="616"/>
      <c r="D232" s="466"/>
      <c r="E232" s="616"/>
      <c r="F232" s="616"/>
      <c r="G232" s="616"/>
      <c r="H232" s="616"/>
      <c r="I232" s="616"/>
      <c r="J232" s="616"/>
      <c r="K232" s="1669">
        <f t="shared" ref="K232:K237" si="20">D232</f>
        <v>0</v>
      </c>
      <c r="L232" s="466"/>
    </row>
    <row r="233" spans="1:12" x14ac:dyDescent="0.2">
      <c r="A233" s="1502" t="s">
        <v>1090</v>
      </c>
      <c r="B233" s="614">
        <v>2120</v>
      </c>
      <c r="C233" s="616"/>
      <c r="D233" s="466"/>
      <c r="E233" s="616"/>
      <c r="F233" s="616"/>
      <c r="G233" s="616"/>
      <c r="H233" s="616"/>
      <c r="I233" s="616"/>
      <c r="J233" s="616"/>
      <c r="K233" s="1669">
        <f t="shared" si="20"/>
        <v>0</v>
      </c>
      <c r="L233" s="466"/>
    </row>
    <row r="234" spans="1:12" x14ac:dyDescent="0.2">
      <c r="A234" s="1502" t="s">
        <v>198</v>
      </c>
      <c r="B234" s="614">
        <v>2130</v>
      </c>
      <c r="C234" s="616"/>
      <c r="D234" s="466"/>
      <c r="E234" s="616"/>
      <c r="F234" s="616"/>
      <c r="G234" s="616"/>
      <c r="H234" s="616"/>
      <c r="I234" s="616"/>
      <c r="J234" s="616"/>
      <c r="K234" s="1669">
        <f t="shared" si="20"/>
        <v>0</v>
      </c>
      <c r="L234" s="466"/>
    </row>
    <row r="235" spans="1:12" x14ac:dyDescent="0.2">
      <c r="A235" s="1502" t="s">
        <v>199</v>
      </c>
      <c r="B235" s="614">
        <v>2140</v>
      </c>
      <c r="C235" s="616"/>
      <c r="D235" s="466"/>
      <c r="E235" s="616"/>
      <c r="F235" s="616"/>
      <c r="G235" s="616"/>
      <c r="H235" s="616"/>
      <c r="I235" s="616"/>
      <c r="J235" s="616"/>
      <c r="K235" s="1669">
        <f t="shared" si="20"/>
        <v>0</v>
      </c>
      <c r="L235" s="466"/>
    </row>
    <row r="236" spans="1:12" x14ac:dyDescent="0.2">
      <c r="A236" s="1502" t="s">
        <v>200</v>
      </c>
      <c r="B236" s="614">
        <v>2150</v>
      </c>
      <c r="C236" s="616"/>
      <c r="D236" s="466"/>
      <c r="E236" s="616"/>
      <c r="F236" s="616"/>
      <c r="G236" s="616"/>
      <c r="H236" s="616"/>
      <c r="I236" s="616"/>
      <c r="J236" s="616"/>
      <c r="K236" s="1669">
        <f t="shared" si="20"/>
        <v>0</v>
      </c>
      <c r="L236" s="466"/>
    </row>
    <row r="237" spans="1:12" x14ac:dyDescent="0.2">
      <c r="A237" s="1502" t="s">
        <v>165</v>
      </c>
      <c r="B237" s="614">
        <v>2190</v>
      </c>
      <c r="C237" s="616"/>
      <c r="D237" s="466"/>
      <c r="E237" s="616"/>
      <c r="F237" s="616"/>
      <c r="G237" s="616"/>
      <c r="H237" s="616"/>
      <c r="I237" s="616"/>
      <c r="J237" s="616"/>
      <c r="K237" s="1669">
        <f t="shared" si="20"/>
        <v>0</v>
      </c>
      <c r="L237" s="466"/>
    </row>
    <row r="238" spans="1:12" ht="12.75" customHeight="1" thickBot="1" x14ac:dyDescent="0.25">
      <c r="A238" s="1666" t="s">
        <v>560</v>
      </c>
      <c r="B238" s="1673" t="s">
        <v>716</v>
      </c>
      <c r="C238" s="616"/>
      <c r="D238" s="1668">
        <f>SUM(D232:D237)</f>
        <v>0</v>
      </c>
      <c r="E238" s="616"/>
      <c r="F238" s="616"/>
      <c r="G238" s="616"/>
      <c r="H238" s="616"/>
      <c r="I238" s="616"/>
      <c r="J238" s="616"/>
      <c r="K238" s="1668">
        <f>SUM(K232:K237)</f>
        <v>0</v>
      </c>
      <c r="L238" s="1668">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2" t="s">
        <v>814</v>
      </c>
      <c r="B240" s="614">
        <v>2210</v>
      </c>
      <c r="C240" s="616"/>
      <c r="D240" s="481"/>
      <c r="E240" s="616"/>
      <c r="F240" s="616"/>
      <c r="G240" s="616"/>
      <c r="H240" s="616"/>
      <c r="I240" s="616"/>
      <c r="J240" s="616"/>
      <c r="K240" s="1670">
        <f>D240</f>
        <v>0</v>
      </c>
      <c r="L240" s="481"/>
    </row>
    <row r="241" spans="1:12" x14ac:dyDescent="0.2">
      <c r="A241" s="1502" t="s">
        <v>815</v>
      </c>
      <c r="B241" s="614">
        <v>2220</v>
      </c>
      <c r="C241" s="616"/>
      <c r="D241" s="466"/>
      <c r="E241" s="616"/>
      <c r="F241" s="616"/>
      <c r="G241" s="616"/>
      <c r="H241" s="616"/>
      <c r="I241" s="616"/>
      <c r="J241" s="616"/>
      <c r="K241" s="1670">
        <f>D241</f>
        <v>0</v>
      </c>
      <c r="L241" s="466"/>
    </row>
    <row r="242" spans="1:12" x14ac:dyDescent="0.2">
      <c r="A242" s="1502" t="s">
        <v>816</v>
      </c>
      <c r="B242" s="614">
        <v>2230</v>
      </c>
      <c r="C242" s="616"/>
      <c r="D242" s="466"/>
      <c r="E242" s="616"/>
      <c r="F242" s="616"/>
      <c r="G242" s="616"/>
      <c r="H242" s="616"/>
      <c r="I242" s="616"/>
      <c r="J242" s="616"/>
      <c r="K242" s="1670">
        <f>D242</f>
        <v>0</v>
      </c>
      <c r="L242" s="466"/>
    </row>
    <row r="243" spans="1:12" ht="12.75" customHeight="1" thickBot="1" x14ac:dyDescent="0.25">
      <c r="A243" s="1692" t="s">
        <v>561</v>
      </c>
      <c r="B243" s="1693">
        <v>2200</v>
      </c>
      <c r="C243" s="616"/>
      <c r="D243" s="1668">
        <f>SUM(D240:D242)</f>
        <v>0</v>
      </c>
      <c r="E243" s="616"/>
      <c r="F243" s="616"/>
      <c r="G243" s="616"/>
      <c r="H243" s="616"/>
      <c r="I243" s="616"/>
      <c r="J243" s="616"/>
      <c r="K243" s="1668">
        <f>SUM(K240:K242)</f>
        <v>0</v>
      </c>
      <c r="L243" s="1668">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2" t="s">
        <v>817</v>
      </c>
      <c r="B245" s="614">
        <v>2310</v>
      </c>
      <c r="C245" s="616"/>
      <c r="D245" s="481"/>
      <c r="E245" s="616"/>
      <c r="F245" s="616"/>
      <c r="G245" s="616"/>
      <c r="H245" s="616"/>
      <c r="I245" s="616"/>
      <c r="J245" s="616"/>
      <c r="K245" s="1670">
        <f>D245</f>
        <v>0</v>
      </c>
      <c r="L245" s="481"/>
    </row>
    <row r="246" spans="1:12" x14ac:dyDescent="0.2">
      <c r="A246" s="1502" t="s">
        <v>818</v>
      </c>
      <c r="B246" s="614">
        <v>2320</v>
      </c>
      <c r="C246" s="616"/>
      <c r="D246" s="466"/>
      <c r="E246" s="616"/>
      <c r="F246" s="616"/>
      <c r="G246" s="616"/>
      <c r="H246" s="616"/>
      <c r="I246" s="616"/>
      <c r="J246" s="616"/>
      <c r="K246" s="1670">
        <f t="shared" ref="K246:K256" si="21">D246</f>
        <v>0</v>
      </c>
      <c r="L246" s="466"/>
    </row>
    <row r="247" spans="1:12" x14ac:dyDescent="0.2">
      <c r="A247" s="1502" t="s">
        <v>819</v>
      </c>
      <c r="B247" s="614">
        <v>2330</v>
      </c>
      <c r="C247" s="616"/>
      <c r="D247" s="466"/>
      <c r="E247" s="616"/>
      <c r="F247" s="616"/>
      <c r="G247" s="616"/>
      <c r="H247" s="616"/>
      <c r="I247" s="616"/>
      <c r="J247" s="616"/>
      <c r="K247" s="1670">
        <f t="shared" si="21"/>
        <v>0</v>
      </c>
      <c r="L247" s="466"/>
    </row>
    <row r="248" spans="1:12" x14ac:dyDescent="0.2">
      <c r="A248" s="1503" t="s">
        <v>299</v>
      </c>
      <c r="B248" s="602" t="s">
        <v>281</v>
      </c>
      <c r="C248" s="616"/>
      <c r="D248" s="474"/>
      <c r="E248" s="616"/>
      <c r="F248" s="616"/>
      <c r="G248" s="616"/>
      <c r="H248" s="616"/>
      <c r="I248" s="616"/>
      <c r="J248" s="616"/>
      <c r="K248" s="1670">
        <f t="shared" si="21"/>
        <v>0</v>
      </c>
      <c r="L248" s="466"/>
    </row>
    <row r="249" spans="1:12" x14ac:dyDescent="0.2">
      <c r="A249" s="1504" t="s">
        <v>1802</v>
      </c>
      <c r="B249" s="683" t="s">
        <v>282</v>
      </c>
      <c r="C249" s="616"/>
      <c r="D249" s="474"/>
      <c r="E249" s="616"/>
      <c r="F249" s="616"/>
      <c r="G249" s="616"/>
      <c r="H249" s="616"/>
      <c r="I249" s="616"/>
      <c r="J249" s="616"/>
      <c r="K249" s="1670">
        <f t="shared" si="21"/>
        <v>0</v>
      </c>
      <c r="L249" s="466"/>
    </row>
    <row r="250" spans="1:12" x14ac:dyDescent="0.2">
      <c r="A250" s="1503" t="s">
        <v>1803</v>
      </c>
      <c r="B250" s="602" t="s">
        <v>283</v>
      </c>
      <c r="C250" s="616"/>
      <c r="D250" s="474"/>
      <c r="E250" s="616"/>
      <c r="F250" s="616"/>
      <c r="G250" s="616"/>
      <c r="H250" s="616"/>
      <c r="I250" s="616"/>
      <c r="J250" s="616"/>
      <c r="K250" s="1670">
        <f t="shared" si="21"/>
        <v>0</v>
      </c>
      <c r="L250" s="466"/>
    </row>
    <row r="251" spans="1:12" x14ac:dyDescent="0.2">
      <c r="A251" s="1503" t="s">
        <v>238</v>
      </c>
      <c r="B251" s="602" t="s">
        <v>284</v>
      </c>
      <c r="C251" s="616"/>
      <c r="D251" s="474"/>
      <c r="E251" s="616"/>
      <c r="F251" s="616"/>
      <c r="G251" s="616"/>
      <c r="H251" s="616"/>
      <c r="I251" s="616"/>
      <c r="J251" s="616"/>
      <c r="K251" s="1670">
        <f t="shared" si="21"/>
        <v>0</v>
      </c>
      <c r="L251" s="466"/>
    </row>
    <row r="252" spans="1:12" x14ac:dyDescent="0.2">
      <c r="A252" s="1503" t="s">
        <v>702</v>
      </c>
      <c r="B252" s="602" t="s">
        <v>285</v>
      </c>
      <c r="C252" s="616"/>
      <c r="D252" s="474"/>
      <c r="E252" s="616"/>
      <c r="F252" s="616"/>
      <c r="G252" s="616"/>
      <c r="H252" s="616"/>
      <c r="I252" s="616"/>
      <c r="J252" s="616"/>
      <c r="K252" s="1670">
        <f t="shared" si="21"/>
        <v>0</v>
      </c>
      <c r="L252" s="466"/>
    </row>
    <row r="253" spans="1:12" x14ac:dyDescent="0.2">
      <c r="A253" s="1503" t="s">
        <v>239</v>
      </c>
      <c r="B253" s="602" t="s">
        <v>286</v>
      </c>
      <c r="C253" s="616"/>
      <c r="D253" s="474"/>
      <c r="E253" s="616"/>
      <c r="F253" s="616"/>
      <c r="G253" s="616"/>
      <c r="H253" s="616"/>
      <c r="I253" s="616"/>
      <c r="J253" s="616"/>
      <c r="K253" s="1670">
        <f t="shared" si="21"/>
        <v>0</v>
      </c>
      <c r="L253" s="466"/>
    </row>
    <row r="254" spans="1:12" ht="22.5" x14ac:dyDescent="0.2">
      <c r="A254" s="1503" t="s">
        <v>1029</v>
      </c>
      <c r="B254" s="683" t="s">
        <v>287</v>
      </c>
      <c r="C254" s="616"/>
      <c r="D254" s="474"/>
      <c r="E254" s="616"/>
      <c r="F254" s="616"/>
      <c r="G254" s="616"/>
      <c r="H254" s="616"/>
      <c r="I254" s="616"/>
      <c r="J254" s="616"/>
      <c r="K254" s="1670">
        <f t="shared" si="21"/>
        <v>0</v>
      </c>
      <c r="L254" s="466"/>
    </row>
    <row r="255" spans="1:12" x14ac:dyDescent="0.2">
      <c r="A255" s="1503" t="s">
        <v>1030</v>
      </c>
      <c r="B255" s="602" t="s">
        <v>288</v>
      </c>
      <c r="C255" s="616"/>
      <c r="D255" s="474"/>
      <c r="E255" s="616"/>
      <c r="F255" s="616"/>
      <c r="G255" s="616"/>
      <c r="H255" s="616"/>
      <c r="I255" s="616"/>
      <c r="J255" s="616"/>
      <c r="K255" s="1670">
        <f t="shared" si="21"/>
        <v>0</v>
      </c>
      <c r="L255" s="466"/>
    </row>
    <row r="256" spans="1:12" x14ac:dyDescent="0.2">
      <c r="A256" s="1503" t="s">
        <v>971</v>
      </c>
      <c r="B256" s="614" t="s">
        <v>289</v>
      </c>
      <c r="C256" s="616"/>
      <c r="D256" s="474"/>
      <c r="E256" s="616"/>
      <c r="F256" s="616"/>
      <c r="G256" s="616"/>
      <c r="H256" s="616"/>
      <c r="I256" s="616"/>
      <c r="J256" s="616"/>
      <c r="K256" s="1670">
        <f t="shared" si="21"/>
        <v>0</v>
      </c>
      <c r="L256" s="466"/>
    </row>
    <row r="257" spans="1:14" ht="12.75" customHeight="1" thickBot="1" x14ac:dyDescent="0.25">
      <c r="A257" s="1666" t="s">
        <v>717</v>
      </c>
      <c r="B257" s="1694">
        <v>2300</v>
      </c>
      <c r="C257" s="616"/>
      <c r="D257" s="1668">
        <f>SUM(D245:D256)</f>
        <v>0</v>
      </c>
      <c r="E257" s="616"/>
      <c r="F257" s="616"/>
      <c r="G257" s="616"/>
      <c r="H257" s="616"/>
      <c r="I257" s="616"/>
      <c r="J257" s="616"/>
      <c r="K257" s="1668">
        <f>SUM(K245:K256)</f>
        <v>0</v>
      </c>
      <c r="L257" s="1668">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2" t="s">
        <v>1067</v>
      </c>
      <c r="B259" s="685">
        <v>2410</v>
      </c>
      <c r="C259" s="616"/>
      <c r="D259" s="481"/>
      <c r="E259" s="616"/>
      <c r="F259" s="616"/>
      <c r="G259" s="616"/>
      <c r="H259" s="616"/>
      <c r="I259" s="616"/>
      <c r="J259" s="616"/>
      <c r="K259" s="1670">
        <f>D259</f>
        <v>0</v>
      </c>
      <c r="L259" s="481"/>
    </row>
    <row r="260" spans="1:14" s="597" customFormat="1" x14ac:dyDescent="0.2">
      <c r="A260" s="1520" t="s">
        <v>1801</v>
      </c>
      <c r="B260" s="628">
        <v>2490</v>
      </c>
      <c r="C260" s="616"/>
      <c r="D260" s="466"/>
      <c r="E260" s="616"/>
      <c r="F260" s="616"/>
      <c r="G260" s="616"/>
      <c r="H260" s="616"/>
      <c r="I260" s="616"/>
      <c r="J260" s="616"/>
      <c r="K260" s="1670">
        <f>D260</f>
        <v>0</v>
      </c>
      <c r="L260" s="466"/>
      <c r="M260" s="210"/>
      <c r="N260" s="210"/>
    </row>
    <row r="261" spans="1:14" ht="12.75" customHeight="1" thickBot="1" x14ac:dyDescent="0.25">
      <c r="A261" s="1690" t="s">
        <v>263</v>
      </c>
      <c r="B261" s="1695" t="s">
        <v>34</v>
      </c>
      <c r="C261" s="616"/>
      <c r="D261" s="1668">
        <f>SUM(D259:D260)</f>
        <v>0</v>
      </c>
      <c r="E261" s="616"/>
      <c r="F261" s="616"/>
      <c r="G261" s="616"/>
      <c r="H261" s="616"/>
      <c r="I261" s="616"/>
      <c r="J261" s="616"/>
      <c r="K261" s="1668">
        <f>SUM(K259:K260)</f>
        <v>0</v>
      </c>
      <c r="L261" s="1668">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2" t="s">
        <v>1068</v>
      </c>
      <c r="B263" s="685">
        <v>2510</v>
      </c>
      <c r="C263" s="616"/>
      <c r="D263" s="466"/>
      <c r="E263" s="616"/>
      <c r="F263" s="616"/>
      <c r="G263" s="616"/>
      <c r="H263" s="616"/>
      <c r="I263" s="616"/>
      <c r="J263" s="616"/>
      <c r="K263" s="1670">
        <f>D263</f>
        <v>0</v>
      </c>
      <c r="L263" s="481"/>
    </row>
    <row r="264" spans="1:14" x14ac:dyDescent="0.2">
      <c r="A264" s="1502" t="s">
        <v>463</v>
      </c>
      <c r="B264" s="685">
        <v>2520</v>
      </c>
      <c r="C264" s="616"/>
      <c r="D264" s="466"/>
      <c r="E264" s="616"/>
      <c r="F264" s="616"/>
      <c r="G264" s="616"/>
      <c r="H264" s="616"/>
      <c r="I264" s="616"/>
      <c r="J264" s="616"/>
      <c r="K264" s="1670">
        <f t="shared" ref="K264:K269" si="22">D264</f>
        <v>0</v>
      </c>
      <c r="L264" s="466"/>
    </row>
    <row r="265" spans="1:14" x14ac:dyDescent="0.2">
      <c r="A265" s="1502" t="s">
        <v>4</v>
      </c>
      <c r="B265" s="614">
        <v>2530</v>
      </c>
      <c r="C265" s="616"/>
      <c r="D265" s="466"/>
      <c r="E265" s="616"/>
      <c r="F265" s="616"/>
      <c r="G265" s="616"/>
      <c r="H265" s="616"/>
      <c r="I265" s="616"/>
      <c r="J265" s="616"/>
      <c r="K265" s="1670">
        <f t="shared" si="22"/>
        <v>0</v>
      </c>
      <c r="L265" s="466"/>
    </row>
    <row r="266" spans="1:14" x14ac:dyDescent="0.2">
      <c r="A266" s="1502" t="s">
        <v>197</v>
      </c>
      <c r="B266" s="614">
        <v>2540</v>
      </c>
      <c r="C266" s="616"/>
      <c r="D266" s="466"/>
      <c r="E266" s="616"/>
      <c r="F266" s="616"/>
      <c r="G266" s="616"/>
      <c r="H266" s="616"/>
      <c r="I266" s="616"/>
      <c r="J266" s="616"/>
      <c r="K266" s="1670">
        <f t="shared" si="22"/>
        <v>0</v>
      </c>
      <c r="L266" s="466"/>
    </row>
    <row r="267" spans="1:14" x14ac:dyDescent="0.2">
      <c r="A267" s="1502" t="s">
        <v>953</v>
      </c>
      <c r="B267" s="614">
        <v>2550</v>
      </c>
      <c r="C267" s="616"/>
      <c r="D267" s="466"/>
      <c r="E267" s="616"/>
      <c r="F267" s="616"/>
      <c r="G267" s="616"/>
      <c r="H267" s="616"/>
      <c r="I267" s="616"/>
      <c r="J267" s="616"/>
      <c r="K267" s="1670">
        <f t="shared" si="22"/>
        <v>0</v>
      </c>
      <c r="L267" s="466"/>
    </row>
    <row r="268" spans="1:14" x14ac:dyDescent="0.2">
      <c r="A268" s="1502" t="s">
        <v>100</v>
      </c>
      <c r="B268" s="614">
        <v>2560</v>
      </c>
      <c r="C268" s="616"/>
      <c r="D268" s="466"/>
      <c r="E268" s="616"/>
      <c r="F268" s="616"/>
      <c r="G268" s="616"/>
      <c r="H268" s="616"/>
      <c r="I268" s="616"/>
      <c r="J268" s="616"/>
      <c r="K268" s="1670">
        <f t="shared" si="22"/>
        <v>0</v>
      </c>
      <c r="L268" s="466"/>
    </row>
    <row r="269" spans="1:14" x14ac:dyDescent="0.2">
      <c r="A269" s="1502" t="s">
        <v>101</v>
      </c>
      <c r="B269" s="614">
        <v>2570</v>
      </c>
      <c r="C269" s="616"/>
      <c r="D269" s="466"/>
      <c r="E269" s="616"/>
      <c r="F269" s="616"/>
      <c r="G269" s="616"/>
      <c r="H269" s="616"/>
      <c r="I269" s="616"/>
      <c r="J269" s="616"/>
      <c r="K269" s="1670">
        <f t="shared" si="22"/>
        <v>0</v>
      </c>
      <c r="L269" s="466"/>
    </row>
    <row r="270" spans="1:14" ht="12.75" customHeight="1" thickBot="1" x14ac:dyDescent="0.25">
      <c r="A270" s="1666" t="s">
        <v>719</v>
      </c>
      <c r="B270" s="1673" t="s">
        <v>35</v>
      </c>
      <c r="C270" s="616"/>
      <c r="D270" s="1668">
        <f>SUM(D263:D269)</f>
        <v>0</v>
      </c>
      <c r="E270" s="616"/>
      <c r="F270" s="616"/>
      <c r="G270" s="616"/>
      <c r="H270" s="616"/>
      <c r="I270" s="616"/>
      <c r="J270" s="616"/>
      <c r="K270" s="1668">
        <f>SUM(K263:K269)</f>
        <v>0</v>
      </c>
      <c r="L270" s="1668">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2" t="s">
        <v>1060</v>
      </c>
      <c r="B272" s="614">
        <v>2610</v>
      </c>
      <c r="C272" s="616"/>
      <c r="D272" s="481"/>
      <c r="E272" s="616"/>
      <c r="F272" s="616"/>
      <c r="G272" s="616"/>
      <c r="H272" s="616"/>
      <c r="I272" s="616"/>
      <c r="J272" s="616"/>
      <c r="K272" s="1670">
        <f>D272</f>
        <v>0</v>
      </c>
      <c r="L272" s="481"/>
    </row>
    <row r="273" spans="1:12" x14ac:dyDescent="0.2">
      <c r="A273" s="1502" t="s">
        <v>607</v>
      </c>
      <c r="B273" s="628">
        <v>2620</v>
      </c>
      <c r="C273" s="616"/>
      <c r="D273" s="466"/>
      <c r="E273" s="616"/>
      <c r="F273" s="616"/>
      <c r="G273" s="616"/>
      <c r="H273" s="616"/>
      <c r="I273" s="616"/>
      <c r="J273" s="616"/>
      <c r="K273" s="1670">
        <f>D273</f>
        <v>0</v>
      </c>
      <c r="L273" s="466"/>
    </row>
    <row r="274" spans="1:12" ht="12" customHeight="1" x14ac:dyDescent="0.2">
      <c r="A274" s="1502" t="s">
        <v>1061</v>
      </c>
      <c r="B274" s="614">
        <v>2630</v>
      </c>
      <c r="C274" s="616"/>
      <c r="D274" s="466"/>
      <c r="E274" s="616"/>
      <c r="F274" s="616"/>
      <c r="G274" s="616"/>
      <c r="H274" s="616"/>
      <c r="I274" s="616"/>
      <c r="J274" s="616"/>
      <c r="K274" s="1670">
        <f>D274</f>
        <v>0</v>
      </c>
      <c r="L274" s="466"/>
    </row>
    <row r="275" spans="1:12" x14ac:dyDescent="0.2">
      <c r="A275" s="1502" t="s">
        <v>403</v>
      </c>
      <c r="B275" s="614">
        <v>2640</v>
      </c>
      <c r="C275" s="616"/>
      <c r="D275" s="466"/>
      <c r="E275" s="616"/>
      <c r="F275" s="616"/>
      <c r="G275" s="616"/>
      <c r="H275" s="616"/>
      <c r="I275" s="616"/>
      <c r="J275" s="616"/>
      <c r="K275" s="1670">
        <f>D275</f>
        <v>0</v>
      </c>
      <c r="L275" s="466"/>
    </row>
    <row r="276" spans="1:12" x14ac:dyDescent="0.2">
      <c r="A276" s="1502" t="s">
        <v>404</v>
      </c>
      <c r="B276" s="614">
        <v>2660</v>
      </c>
      <c r="C276" s="616"/>
      <c r="D276" s="466"/>
      <c r="E276" s="616"/>
      <c r="F276" s="616"/>
      <c r="G276" s="616"/>
      <c r="H276" s="616"/>
      <c r="I276" s="616"/>
      <c r="J276" s="616"/>
      <c r="K276" s="1670">
        <f>D276</f>
        <v>0</v>
      </c>
      <c r="L276" s="466"/>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08" t="s">
        <v>980</v>
      </c>
      <c r="B278" s="655" t="s">
        <v>574</v>
      </c>
      <c r="C278" s="616"/>
      <c r="D278" s="656"/>
      <c r="E278" s="616"/>
      <c r="F278" s="616"/>
      <c r="G278" s="616"/>
      <c r="H278" s="616"/>
      <c r="I278" s="616"/>
      <c r="J278" s="616"/>
      <c r="K278" s="1683">
        <f>D278</f>
        <v>0</v>
      </c>
      <c r="L278" s="656"/>
    </row>
    <row r="279" spans="1:12" ht="12.75" customHeight="1" thickBot="1" x14ac:dyDescent="0.25">
      <c r="A279" s="1696" t="s">
        <v>811</v>
      </c>
      <c r="B279" s="1679">
        <v>2000</v>
      </c>
      <c r="C279" s="616"/>
      <c r="D279" s="1675">
        <f>SUM(D238,D243,D257,D261,D270,D277,D278)</f>
        <v>0</v>
      </c>
      <c r="E279" s="616"/>
      <c r="F279" s="616"/>
      <c r="G279" s="616"/>
      <c r="H279" s="616"/>
      <c r="I279" s="616"/>
      <c r="J279" s="616"/>
      <c r="K279" s="1675">
        <f>SUM(K238,K243,K257,K261,K270,K277,K278)</f>
        <v>0</v>
      </c>
      <c r="L279" s="1675">
        <f>SUM(L238,L243,L257,L261,L270,L277,L278)</f>
        <v>0</v>
      </c>
    </row>
    <row r="280" spans="1:12" ht="15.75" customHeight="1" thickTop="1" thickBot="1" x14ac:dyDescent="0.25">
      <c r="A280" s="1622" t="s">
        <v>875</v>
      </c>
      <c r="B280" s="1611">
        <v>3000</v>
      </c>
      <c r="C280" s="616"/>
      <c r="D280" s="576"/>
      <c r="E280" s="616"/>
      <c r="F280" s="616"/>
      <c r="G280" s="616"/>
      <c r="H280" s="616"/>
      <c r="I280" s="616"/>
      <c r="J280" s="616"/>
      <c r="K280" s="1677">
        <f>D280</f>
        <v>0</v>
      </c>
      <c r="L280" s="576"/>
    </row>
    <row r="281" spans="1:12" ht="15.75" customHeight="1" thickTop="1" x14ac:dyDescent="0.2">
      <c r="A281" s="1612" t="s">
        <v>142</v>
      </c>
      <c r="B281" s="1613" t="s">
        <v>860</v>
      </c>
      <c r="C281" s="616"/>
      <c r="D281" s="566"/>
      <c r="E281" s="616"/>
      <c r="F281" s="616"/>
      <c r="G281" s="616"/>
      <c r="H281" s="616"/>
      <c r="I281" s="616"/>
      <c r="J281" s="616"/>
      <c r="K281" s="616"/>
      <c r="L281" s="616"/>
    </row>
    <row r="282" spans="1:12" ht="15.75" customHeight="1" x14ac:dyDescent="0.2">
      <c r="A282" s="1828" t="s">
        <v>496</v>
      </c>
      <c r="B282" s="690" t="s">
        <v>1841</v>
      </c>
      <c r="C282" s="616"/>
      <c r="D282" s="467"/>
      <c r="E282" s="616"/>
      <c r="F282" s="616"/>
      <c r="G282" s="616"/>
      <c r="H282" s="616"/>
      <c r="I282" s="616"/>
      <c r="J282" s="616"/>
      <c r="K282" s="1669">
        <f>D282</f>
        <v>0</v>
      </c>
      <c r="L282" s="467"/>
    </row>
    <row r="283" spans="1:12" x14ac:dyDescent="0.2">
      <c r="A283" s="1502" t="s">
        <v>304</v>
      </c>
      <c r="B283" s="614">
        <v>4120</v>
      </c>
      <c r="C283" s="616"/>
      <c r="D283" s="466"/>
      <c r="E283" s="616"/>
      <c r="F283" s="616"/>
      <c r="G283" s="616"/>
      <c r="H283" s="616"/>
      <c r="I283" s="616"/>
      <c r="J283" s="616"/>
      <c r="K283" s="1669">
        <f>D283</f>
        <v>0</v>
      </c>
      <c r="L283" s="466"/>
    </row>
    <row r="284" spans="1:12" x14ac:dyDescent="0.2">
      <c r="A284" s="1502" t="s">
        <v>697</v>
      </c>
      <c r="B284" s="614">
        <v>4140</v>
      </c>
      <c r="C284" s="616"/>
      <c r="D284" s="467"/>
      <c r="E284" s="616"/>
      <c r="F284" s="616"/>
      <c r="G284" s="616"/>
      <c r="H284" s="616"/>
      <c r="I284" s="616"/>
      <c r="J284" s="616"/>
      <c r="K284" s="1669">
        <f>D284</f>
        <v>0</v>
      </c>
      <c r="L284" s="466"/>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0" t="s">
        <v>876</v>
      </c>
      <c r="B286" s="1607"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2" t="s">
        <v>87</v>
      </c>
      <c r="B288" s="614">
        <v>5110</v>
      </c>
      <c r="C288" s="616"/>
      <c r="D288" s="616"/>
      <c r="E288" s="616"/>
      <c r="F288" s="616"/>
      <c r="G288" s="616"/>
      <c r="H288" s="466"/>
      <c r="I288" s="616"/>
      <c r="J288" s="616"/>
      <c r="K288" s="1669">
        <f>H288</f>
        <v>0</v>
      </c>
      <c r="L288" s="466"/>
    </row>
    <row r="289" spans="1:14" x14ac:dyDescent="0.2">
      <c r="A289" s="1502" t="s">
        <v>88</v>
      </c>
      <c r="B289" s="614">
        <v>5120</v>
      </c>
      <c r="C289" s="616"/>
      <c r="D289" s="616"/>
      <c r="E289" s="616"/>
      <c r="F289" s="616"/>
      <c r="G289" s="616"/>
      <c r="H289" s="466"/>
      <c r="I289" s="616"/>
      <c r="J289" s="616"/>
      <c r="K289" s="1669">
        <f>H289</f>
        <v>0</v>
      </c>
      <c r="L289" s="466"/>
    </row>
    <row r="290" spans="1:14" ht="12.75" customHeight="1" x14ac:dyDescent="0.2">
      <c r="A290" s="1502" t="s">
        <v>1170</v>
      </c>
      <c r="B290" s="628" t="s">
        <v>617</v>
      </c>
      <c r="C290" s="616"/>
      <c r="D290" s="616"/>
      <c r="E290" s="616"/>
      <c r="F290" s="616"/>
      <c r="G290" s="616"/>
      <c r="H290" s="466"/>
      <c r="I290" s="616"/>
      <c r="J290" s="616"/>
      <c r="K290" s="1669">
        <f>H290</f>
        <v>0</v>
      </c>
      <c r="L290" s="466"/>
    </row>
    <row r="291" spans="1:14" x14ac:dyDescent="0.2">
      <c r="A291" s="1502" t="s">
        <v>89</v>
      </c>
      <c r="B291" s="614" t="s">
        <v>589</v>
      </c>
      <c r="C291" s="616"/>
      <c r="D291" s="616"/>
      <c r="E291" s="616"/>
      <c r="F291" s="616"/>
      <c r="G291" s="616"/>
      <c r="H291" s="466"/>
      <c r="I291" s="616"/>
      <c r="J291" s="616"/>
      <c r="K291" s="1669">
        <f>H291</f>
        <v>0</v>
      </c>
      <c r="L291" s="466"/>
    </row>
    <row r="292" spans="1:14" x14ac:dyDescent="0.2">
      <c r="A292" s="1502" t="s">
        <v>762</v>
      </c>
      <c r="B292" s="614" t="s">
        <v>618</v>
      </c>
      <c r="C292" s="616"/>
      <c r="D292" s="616"/>
      <c r="E292" s="616"/>
      <c r="F292" s="616"/>
      <c r="G292" s="616"/>
      <c r="H292" s="466"/>
      <c r="I292" s="616"/>
      <c r="J292" s="616"/>
      <c r="K292" s="1669">
        <f>H292</f>
        <v>0</v>
      </c>
      <c r="L292" s="466"/>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3" t="s">
        <v>877</v>
      </c>
      <c r="B294" s="1611" t="s">
        <v>861</v>
      </c>
      <c r="C294" s="616"/>
      <c r="D294" s="623"/>
      <c r="E294" s="616"/>
      <c r="F294" s="616"/>
      <c r="G294" s="616"/>
      <c r="H294" s="686"/>
      <c r="I294" s="616"/>
      <c r="J294" s="616"/>
      <c r="K294" s="686"/>
      <c r="L294" s="578"/>
    </row>
    <row r="295" spans="1:14" ht="12.75" customHeight="1" thickTop="1" thickBot="1" x14ac:dyDescent="0.25">
      <c r="A295" s="2174" t="s">
        <v>505</v>
      </c>
      <c r="B295" s="2175"/>
      <c r="C295" s="616"/>
      <c r="D295" s="1668">
        <f>SUM(D229,D279,D280,D285)</f>
        <v>0</v>
      </c>
      <c r="E295" s="616"/>
      <c r="F295" s="616"/>
      <c r="G295" s="616"/>
      <c r="H295" s="1668">
        <f>H293</f>
        <v>0</v>
      </c>
      <c r="I295" s="616"/>
      <c r="J295" s="616"/>
      <c r="K295" s="1668">
        <f>SUM(K229,K279,K280,K285,K293,K294)</f>
        <v>0</v>
      </c>
      <c r="L295" s="1668">
        <f>SUM(L229,L279,L280,L285,L293,L294)</f>
        <v>0</v>
      </c>
    </row>
    <row r="296" spans="1:14" ht="13.5" thickTop="1" x14ac:dyDescent="0.2">
      <c r="A296" s="2183" t="s">
        <v>996</v>
      </c>
      <c r="B296" s="2184"/>
      <c r="C296" s="616"/>
      <c r="D296" s="618"/>
      <c r="E296" s="616"/>
      <c r="F296" s="616"/>
      <c r="G296" s="616"/>
      <c r="H296" s="687"/>
      <c r="I296" s="616"/>
      <c r="J296" s="616"/>
      <c r="K296" s="1682">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49"/>
      <c r="D298" s="1550"/>
      <c r="E298" s="1550"/>
      <c r="F298" s="1550"/>
      <c r="G298" s="1550"/>
      <c r="H298" s="1550"/>
      <c r="I298" s="1550"/>
      <c r="J298" s="1550"/>
      <c r="K298" s="1550"/>
      <c r="L298" s="1551"/>
    </row>
    <row r="299" spans="1:14" ht="15.75" customHeight="1" x14ac:dyDescent="0.2">
      <c r="A299" s="1610" t="s">
        <v>144</v>
      </c>
      <c r="B299" s="1613"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5" t="s">
        <v>608</v>
      </c>
      <c r="B301" s="689">
        <v>2530</v>
      </c>
      <c r="C301" s="466"/>
      <c r="D301" s="466"/>
      <c r="E301" s="466"/>
      <c r="F301" s="466"/>
      <c r="G301" s="466"/>
      <c r="H301" s="466"/>
      <c r="I301" s="467"/>
      <c r="J301" s="467"/>
      <c r="K301" s="1669">
        <f>SUM(C301:J301)</f>
        <v>0</v>
      </c>
      <c r="L301" s="467"/>
    </row>
    <row r="302" spans="1:14" ht="13.5" customHeight="1" x14ac:dyDescent="0.2">
      <c r="A302" s="1515" t="s">
        <v>980</v>
      </c>
      <c r="B302" s="614" t="s">
        <v>574</v>
      </c>
      <c r="C302" s="466"/>
      <c r="D302" s="466"/>
      <c r="E302" s="466"/>
      <c r="F302" s="466"/>
      <c r="G302" s="466"/>
      <c r="H302" s="466"/>
      <c r="I302" s="467"/>
      <c r="J302" s="467"/>
      <c r="K302" s="1669">
        <f>SUM(C302:J302)</f>
        <v>0</v>
      </c>
      <c r="L302" s="466"/>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0" t="s">
        <v>145</v>
      </c>
      <c r="B304" s="1611"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6" t="s">
        <v>1846</v>
      </c>
      <c r="B306" s="690" t="s">
        <v>1841</v>
      </c>
      <c r="C306" s="616"/>
      <c r="D306" s="616"/>
      <c r="E306" s="467"/>
      <c r="F306" s="616"/>
      <c r="G306" s="616"/>
      <c r="H306" s="467"/>
      <c r="I306" s="616"/>
      <c r="J306" s="616"/>
      <c r="K306" s="1669">
        <f>SUM(E306,H306)</f>
        <v>0</v>
      </c>
      <c r="L306" s="467"/>
    </row>
    <row r="307" spans="1:14" x14ac:dyDescent="0.2">
      <c r="A307" s="1502" t="s">
        <v>304</v>
      </c>
      <c r="B307" s="614">
        <v>4120</v>
      </c>
      <c r="C307" s="616"/>
      <c r="D307" s="616"/>
      <c r="E307" s="467"/>
      <c r="F307" s="616"/>
      <c r="G307" s="616"/>
      <c r="H307" s="467"/>
      <c r="I307" s="477"/>
      <c r="J307" s="616"/>
      <c r="K307" s="1669">
        <f>SUM(E307,H307)</f>
        <v>0</v>
      </c>
      <c r="L307" s="466"/>
    </row>
    <row r="308" spans="1:14" x14ac:dyDescent="0.2">
      <c r="A308" s="1502" t="s">
        <v>697</v>
      </c>
      <c r="B308" s="614">
        <v>4140</v>
      </c>
      <c r="C308" s="616"/>
      <c r="D308" s="616"/>
      <c r="E308" s="467"/>
      <c r="F308" s="616"/>
      <c r="G308" s="616"/>
      <c r="H308" s="467"/>
      <c r="I308" s="477"/>
      <c r="J308" s="616"/>
      <c r="K308" s="1669">
        <f>SUM(E308,H308)</f>
        <v>0</v>
      </c>
      <c r="L308" s="466"/>
    </row>
    <row r="309" spans="1:14" ht="12.75" customHeight="1" x14ac:dyDescent="0.2">
      <c r="A309" s="1506" t="s">
        <v>698</v>
      </c>
      <c r="B309" s="628">
        <v>4190</v>
      </c>
      <c r="C309" s="616"/>
      <c r="D309" s="616"/>
      <c r="E309" s="467"/>
      <c r="F309" s="616"/>
      <c r="G309" s="616"/>
      <c r="H309" s="467"/>
      <c r="I309" s="477"/>
      <c r="J309" s="616"/>
      <c r="K309" s="1669">
        <f>SUM(E309,H309)</f>
        <v>0</v>
      </c>
      <c r="L309" s="466"/>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7" t="s">
        <v>895</v>
      </c>
      <c r="B311" s="1609" t="s">
        <v>861</v>
      </c>
      <c r="C311" s="623"/>
      <c r="D311" s="623"/>
      <c r="E311" s="623"/>
      <c r="F311" s="623"/>
      <c r="G311" s="623"/>
      <c r="H311" s="623"/>
      <c r="I311" s="623"/>
      <c r="J311" s="616"/>
      <c r="K311" s="623"/>
      <c r="L311" s="576"/>
    </row>
    <row r="312" spans="1:14" s="674" customFormat="1" ht="12.75" customHeight="1" thickTop="1" thickBot="1" x14ac:dyDescent="0.25">
      <c r="A312" s="2171" t="s">
        <v>277</v>
      </c>
      <c r="B312" s="2172"/>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5"/>
      <c r="N312" s="665"/>
    </row>
    <row r="313" spans="1:14" ht="13.5" thickTop="1" x14ac:dyDescent="0.2">
      <c r="A313" s="2167" t="s">
        <v>996</v>
      </c>
      <c r="B313" s="2168"/>
      <c r="C313" s="626"/>
      <c r="D313" s="626"/>
      <c r="E313" s="626"/>
      <c r="F313" s="626"/>
      <c r="G313" s="626"/>
      <c r="H313" s="626"/>
      <c r="I313" s="626"/>
      <c r="J313" s="626"/>
      <c r="K313" s="1683">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4"/>
      <c r="D315" s="1555"/>
      <c r="E315" s="1555"/>
      <c r="F315" s="1555"/>
      <c r="G315" s="1555"/>
      <c r="H315" s="1555"/>
      <c r="I315" s="1555"/>
      <c r="J315" s="1555"/>
      <c r="K315" s="1555"/>
      <c r="L315" s="155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4"/>
      <c r="D317" s="1555"/>
      <c r="E317" s="1555"/>
      <c r="F317" s="1555"/>
      <c r="G317" s="1555"/>
      <c r="H317" s="1555"/>
      <c r="I317" s="1555"/>
      <c r="J317" s="1555"/>
      <c r="K317" s="1555"/>
      <c r="L317" s="1556"/>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7" t="s">
        <v>299</v>
      </c>
      <c r="B319" s="697" t="s">
        <v>281</v>
      </c>
      <c r="C319" s="467"/>
      <c r="D319" s="467"/>
      <c r="E319" s="467"/>
      <c r="F319" s="467"/>
      <c r="G319" s="467"/>
      <c r="H319" s="467"/>
      <c r="I319" s="467"/>
      <c r="J319" s="467"/>
      <c r="K319" s="1669">
        <f>SUM(C319:J319)</f>
        <v>0</v>
      </c>
      <c r="L319" s="467"/>
      <c r="M319" s="665"/>
      <c r="N319" s="665"/>
    </row>
    <row r="320" spans="1:14" s="674" customFormat="1" x14ac:dyDescent="0.2">
      <c r="A320" s="1521" t="s">
        <v>1802</v>
      </c>
      <c r="B320" s="698" t="s">
        <v>282</v>
      </c>
      <c r="C320" s="467"/>
      <c r="D320" s="467"/>
      <c r="E320" s="467"/>
      <c r="F320" s="467"/>
      <c r="G320" s="467"/>
      <c r="H320" s="467"/>
      <c r="I320" s="467"/>
      <c r="J320" s="467"/>
      <c r="K320" s="1669">
        <f t="shared" ref="K320:K327" si="24">SUM(C320:J320)</f>
        <v>0</v>
      </c>
      <c r="L320" s="467"/>
      <c r="M320" s="665"/>
      <c r="N320" s="665"/>
    </row>
    <row r="321" spans="1:14" s="674" customFormat="1" x14ac:dyDescent="0.2">
      <c r="A321" s="1517" t="s">
        <v>300</v>
      </c>
      <c r="B321" s="697" t="s">
        <v>283</v>
      </c>
      <c r="C321" s="467"/>
      <c r="D321" s="467"/>
      <c r="E321" s="467"/>
      <c r="F321" s="467"/>
      <c r="G321" s="467"/>
      <c r="H321" s="467"/>
      <c r="I321" s="467"/>
      <c r="J321" s="467"/>
      <c r="K321" s="1669">
        <f t="shared" si="24"/>
        <v>0</v>
      </c>
      <c r="L321" s="467"/>
      <c r="M321" s="665"/>
      <c r="N321" s="665"/>
    </row>
    <row r="322" spans="1:14" s="674" customFormat="1" x14ac:dyDescent="0.2">
      <c r="A322" s="1517" t="s">
        <v>238</v>
      </c>
      <c r="B322" s="697" t="s">
        <v>284</v>
      </c>
      <c r="C322" s="467"/>
      <c r="D322" s="467"/>
      <c r="E322" s="467"/>
      <c r="F322" s="467"/>
      <c r="G322" s="467"/>
      <c r="H322" s="467"/>
      <c r="I322" s="467"/>
      <c r="J322" s="467"/>
      <c r="K322" s="1669">
        <f t="shared" si="24"/>
        <v>0</v>
      </c>
      <c r="L322" s="467"/>
      <c r="M322" s="665"/>
      <c r="N322" s="665"/>
    </row>
    <row r="323" spans="1:14" s="674" customFormat="1" x14ac:dyDescent="0.2">
      <c r="A323" s="1517" t="s">
        <v>702</v>
      </c>
      <c r="B323" s="697" t="s">
        <v>285</v>
      </c>
      <c r="C323" s="467"/>
      <c r="D323" s="467"/>
      <c r="E323" s="467"/>
      <c r="F323" s="467"/>
      <c r="G323" s="467"/>
      <c r="H323" s="467"/>
      <c r="I323" s="467"/>
      <c r="J323" s="467"/>
      <c r="K323" s="1669">
        <f t="shared" si="24"/>
        <v>0</v>
      </c>
      <c r="L323" s="467"/>
      <c r="M323" s="665"/>
      <c r="N323" s="665"/>
    </row>
    <row r="324" spans="1:14" s="674" customFormat="1" x14ac:dyDescent="0.2">
      <c r="A324" s="1517" t="s">
        <v>239</v>
      </c>
      <c r="B324" s="697" t="s">
        <v>286</v>
      </c>
      <c r="C324" s="467"/>
      <c r="D324" s="467"/>
      <c r="E324" s="467"/>
      <c r="F324" s="467"/>
      <c r="G324" s="467"/>
      <c r="H324" s="467"/>
      <c r="I324" s="467"/>
      <c r="J324" s="467"/>
      <c r="K324" s="1669">
        <f t="shared" si="24"/>
        <v>0</v>
      </c>
      <c r="L324" s="467"/>
      <c r="M324" s="665"/>
      <c r="N324" s="665"/>
    </row>
    <row r="325" spans="1:14" s="674" customFormat="1" ht="22.5" x14ac:dyDescent="0.2">
      <c r="A325" s="1517" t="s">
        <v>1029</v>
      </c>
      <c r="B325" s="698" t="s">
        <v>287</v>
      </c>
      <c r="C325" s="467"/>
      <c r="D325" s="467"/>
      <c r="E325" s="467"/>
      <c r="F325" s="467"/>
      <c r="G325" s="467"/>
      <c r="H325" s="467"/>
      <c r="I325" s="467"/>
      <c r="J325" s="467"/>
      <c r="K325" s="1669">
        <f t="shared" si="24"/>
        <v>0</v>
      </c>
      <c r="L325" s="467"/>
      <c r="M325" s="665"/>
      <c r="N325" s="665"/>
    </row>
    <row r="326" spans="1:14" s="674" customFormat="1" x14ac:dyDescent="0.2">
      <c r="A326" s="1517" t="s">
        <v>1030</v>
      </c>
      <c r="B326" s="697" t="s">
        <v>288</v>
      </c>
      <c r="C326" s="467"/>
      <c r="D326" s="467"/>
      <c r="E326" s="467"/>
      <c r="F326" s="467"/>
      <c r="G326" s="467"/>
      <c r="H326" s="467"/>
      <c r="I326" s="467"/>
      <c r="J326" s="467"/>
      <c r="K326" s="1669">
        <f t="shared" si="24"/>
        <v>0</v>
      </c>
      <c r="L326" s="467"/>
      <c r="M326" s="665"/>
      <c r="N326" s="665"/>
    </row>
    <row r="327" spans="1:14" s="674" customFormat="1" x14ac:dyDescent="0.2">
      <c r="A327" s="1517" t="s">
        <v>971</v>
      </c>
      <c r="B327" s="697" t="s">
        <v>289</v>
      </c>
      <c r="C327" s="467"/>
      <c r="D327" s="467"/>
      <c r="E327" s="467"/>
      <c r="F327" s="467"/>
      <c r="G327" s="467"/>
      <c r="H327" s="467"/>
      <c r="I327" s="467"/>
      <c r="J327" s="467"/>
      <c r="K327" s="1669">
        <f t="shared" si="24"/>
        <v>0</v>
      </c>
      <c r="L327" s="467"/>
      <c r="M327" s="665"/>
      <c r="N327" s="665"/>
    </row>
    <row r="328" spans="1:14" s="674" customFormat="1" x14ac:dyDescent="0.2">
      <c r="A328" s="1518" t="s">
        <v>472</v>
      </c>
      <c r="B328" s="690" t="s">
        <v>1132</v>
      </c>
      <c r="C328" s="474"/>
      <c r="D328" s="474"/>
      <c r="E328" s="474"/>
      <c r="F328" s="474"/>
      <c r="G328" s="474"/>
      <c r="H328" s="474"/>
      <c r="I328" s="474"/>
      <c r="J328" s="474"/>
      <c r="K328" s="1697">
        <f>SUM(C328:J328)</f>
        <v>0</v>
      </c>
      <c r="L328" s="474"/>
      <c r="M328" s="665"/>
      <c r="N328" s="665"/>
    </row>
    <row r="329" spans="1:14" s="674" customFormat="1" x14ac:dyDescent="0.2">
      <c r="A329" s="1518" t="s">
        <v>1133</v>
      </c>
      <c r="B329" s="690" t="s">
        <v>1134</v>
      </c>
      <c r="C329" s="474"/>
      <c r="D329" s="474"/>
      <c r="E329" s="474"/>
      <c r="F329" s="474"/>
      <c r="G329" s="474"/>
      <c r="H329" s="474"/>
      <c r="I329" s="474"/>
      <c r="J329" s="474"/>
      <c r="K329" s="1697">
        <f>SUM(C329:J329)</f>
        <v>0</v>
      </c>
      <c r="L329" s="474"/>
      <c r="M329" s="665"/>
      <c r="N329" s="665"/>
    </row>
    <row r="330" spans="1:14" s="674" customFormat="1" ht="12.75" customHeight="1" thickBot="1" x14ac:dyDescent="0.25">
      <c r="A330" s="1698" t="s">
        <v>717</v>
      </c>
      <c r="B330" s="1667" t="s">
        <v>569</v>
      </c>
      <c r="C330" s="1668">
        <f>SUM(C319:C329)</f>
        <v>0</v>
      </c>
      <c r="D330" s="1668">
        <f t="shared" ref="D330:J330" si="25">SUM(D319:D329)</f>
        <v>0</v>
      </c>
      <c r="E330" s="1668">
        <f t="shared" si="25"/>
        <v>0</v>
      </c>
      <c r="F330" s="1668">
        <f t="shared" si="25"/>
        <v>0</v>
      </c>
      <c r="G330" s="1668">
        <f t="shared" si="25"/>
        <v>0</v>
      </c>
      <c r="H330" s="1668">
        <f t="shared" si="25"/>
        <v>0</v>
      </c>
      <c r="I330" s="1668">
        <f t="shared" si="25"/>
        <v>0</v>
      </c>
      <c r="J330" s="1668">
        <f t="shared" si="25"/>
        <v>0</v>
      </c>
      <c r="K330" s="1668">
        <f>SUM(K319:K329)</f>
        <v>0</v>
      </c>
      <c r="L330" s="1668">
        <f>SUM(L319:L329)</f>
        <v>0</v>
      </c>
      <c r="M330" s="665"/>
      <c r="N330" s="665"/>
    </row>
    <row r="331" spans="1:14" s="674" customFormat="1" ht="12.75" customHeight="1" thickTop="1" x14ac:dyDescent="0.2">
      <c r="A331" s="1829" t="s">
        <v>1847</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1841</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304</v>
      </c>
      <c r="B333" s="1825" t="s">
        <v>1843</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1848</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4" t="s">
        <v>899</v>
      </c>
      <c r="B335" s="1605"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6" t="s">
        <v>87</v>
      </c>
      <c r="B337" s="690" t="s">
        <v>900</v>
      </c>
      <c r="C337" s="638"/>
      <c r="D337" s="638"/>
      <c r="E337" s="638"/>
      <c r="F337" s="638"/>
      <c r="G337" s="638"/>
      <c r="H337" s="478"/>
      <c r="I337" s="638"/>
      <c r="J337" s="638"/>
      <c r="K337" s="1669">
        <f>H337</f>
        <v>0</v>
      </c>
      <c r="L337" s="478"/>
    </row>
    <row r="338" spans="1:14" ht="12.75" customHeight="1" x14ac:dyDescent="0.2">
      <c r="A338" s="1516" t="s">
        <v>1170</v>
      </c>
      <c r="B338" s="690" t="s">
        <v>617</v>
      </c>
      <c r="C338" s="638"/>
      <c r="D338" s="638"/>
      <c r="E338" s="638"/>
      <c r="F338" s="638"/>
      <c r="G338" s="638"/>
      <c r="H338" s="478"/>
      <c r="I338" s="638"/>
      <c r="J338" s="638"/>
      <c r="K338" s="1669">
        <f>H338</f>
        <v>0</v>
      </c>
      <c r="L338" s="478"/>
    </row>
    <row r="339" spans="1:14" x14ac:dyDescent="0.2">
      <c r="A339" s="1502" t="s">
        <v>901</v>
      </c>
      <c r="B339" s="628">
        <v>5150</v>
      </c>
      <c r="C339" s="638"/>
      <c r="D339" s="638"/>
      <c r="E339" s="638"/>
      <c r="F339" s="638"/>
      <c r="G339" s="638"/>
      <c r="H339" s="467"/>
      <c r="I339" s="638"/>
      <c r="J339" s="638"/>
      <c r="K339" s="1669">
        <f>H339</f>
        <v>0</v>
      </c>
      <c r="L339" s="467"/>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7" t="s">
        <v>903</v>
      </c>
      <c r="B341" s="1609" t="s">
        <v>861</v>
      </c>
      <c r="C341" s="616"/>
      <c r="D341" s="616"/>
      <c r="E341" s="477"/>
      <c r="F341" s="468"/>
      <c r="G341" s="468"/>
      <c r="H341" s="477"/>
      <c r="I341" s="477"/>
      <c r="J341" s="468"/>
      <c r="K341" s="477"/>
      <c r="L341" s="576"/>
    </row>
    <row r="342" spans="1:14" ht="12.75" customHeight="1" thickTop="1" thickBot="1" x14ac:dyDescent="0.25">
      <c r="A342" s="1684" t="s">
        <v>505</v>
      </c>
      <c r="B342" s="1699"/>
      <c r="C342" s="1668">
        <f>SUM(C330)</f>
        <v>0</v>
      </c>
      <c r="D342" s="1668">
        <f>SUM(D330)</f>
        <v>0</v>
      </c>
      <c r="E342" s="1668">
        <f>SUM(E330)</f>
        <v>0</v>
      </c>
      <c r="F342" s="1668">
        <f>SUM(F330)</f>
        <v>0</v>
      </c>
      <c r="G342" s="1668">
        <f>SUM(G330)</f>
        <v>0</v>
      </c>
      <c r="H342" s="1668">
        <f>SUM(H330,H334,H340)</f>
        <v>0</v>
      </c>
      <c r="I342" s="1668">
        <f>SUM(I330)</f>
        <v>0</v>
      </c>
      <c r="J342" s="1668">
        <f>SUM(J330)</f>
        <v>0</v>
      </c>
      <c r="K342" s="1668">
        <f>SUM(K330,K334,K340)</f>
        <v>0</v>
      </c>
      <c r="L342" s="1675">
        <f>SUM(L330,L340,L341)</f>
        <v>0</v>
      </c>
    </row>
    <row r="343" spans="1:14" ht="12.75" customHeight="1" thickTop="1" x14ac:dyDescent="0.2">
      <c r="A343" s="2169" t="s">
        <v>996</v>
      </c>
      <c r="B343" s="2170"/>
      <c r="C343" s="616"/>
      <c r="D343" s="616"/>
      <c r="E343" s="616"/>
      <c r="F343" s="616"/>
      <c r="G343" s="616"/>
      <c r="H343" s="616"/>
      <c r="I343" s="616"/>
      <c r="J343" s="616"/>
      <c r="K343" s="1682">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49"/>
      <c r="D345" s="1550"/>
      <c r="E345" s="1550"/>
      <c r="F345" s="1550"/>
      <c r="G345" s="1550"/>
      <c r="H345" s="1550"/>
      <c r="I345" s="1550"/>
      <c r="J345" s="1550"/>
      <c r="K345" s="1550"/>
      <c r="L345" s="1551"/>
      <c r="M345" s="667"/>
      <c r="N345" s="667"/>
    </row>
    <row r="346" spans="1:14" s="343" customFormat="1" ht="15.75" customHeight="1" x14ac:dyDescent="0.2">
      <c r="A346" s="1621" t="s">
        <v>844</v>
      </c>
      <c r="B346" s="1613"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2" t="s">
        <v>4</v>
      </c>
      <c r="B348" s="614">
        <v>2530</v>
      </c>
      <c r="C348" s="466"/>
      <c r="D348" s="466"/>
      <c r="E348" s="466"/>
      <c r="F348" s="466"/>
      <c r="G348" s="466"/>
      <c r="H348" s="466"/>
      <c r="I348" s="467"/>
      <c r="J348" s="467"/>
      <c r="K348" s="1669">
        <f>SUM(C348:J348)</f>
        <v>0</v>
      </c>
      <c r="L348" s="466"/>
    </row>
    <row r="349" spans="1:14" x14ac:dyDescent="0.2">
      <c r="A349" s="1502" t="s">
        <v>197</v>
      </c>
      <c r="B349" s="614">
        <v>2540</v>
      </c>
      <c r="C349" s="466"/>
      <c r="D349" s="466"/>
      <c r="E349" s="466"/>
      <c r="F349" s="466"/>
      <c r="G349" s="466"/>
      <c r="H349" s="466"/>
      <c r="I349" s="467"/>
      <c r="J349" s="467"/>
      <c r="K349" s="1669">
        <f>SUM(C349:J349)</f>
        <v>0</v>
      </c>
      <c r="L349" s="466"/>
    </row>
    <row r="350" spans="1:14" ht="12.75" customHeight="1" thickBot="1" x14ac:dyDescent="0.25">
      <c r="A350" s="1666" t="s">
        <v>719</v>
      </c>
      <c r="B350" s="1667" t="s">
        <v>35</v>
      </c>
      <c r="C350" s="1668">
        <f>SUM(C348:C349)</f>
        <v>0</v>
      </c>
      <c r="D350" s="1668">
        <f t="shared" ref="D350:L350" si="26">SUM(D348:D349)</f>
        <v>0</v>
      </c>
      <c r="E350" s="1668">
        <f t="shared" si="26"/>
        <v>0</v>
      </c>
      <c r="F350" s="1668">
        <f t="shared" si="26"/>
        <v>0</v>
      </c>
      <c r="G350" s="1668">
        <f t="shared" si="26"/>
        <v>0</v>
      </c>
      <c r="H350" s="1668">
        <f t="shared" si="26"/>
        <v>0</v>
      </c>
      <c r="I350" s="1668">
        <f t="shared" si="26"/>
        <v>0</v>
      </c>
      <c r="J350" s="1668">
        <f t="shared" si="26"/>
        <v>0</v>
      </c>
      <c r="K350" s="1668">
        <f t="shared" si="26"/>
        <v>0</v>
      </c>
      <c r="L350" s="1668">
        <f t="shared" si="26"/>
        <v>0</v>
      </c>
    </row>
    <row r="351" spans="1:14" ht="12.75" customHeight="1" thickTop="1" x14ac:dyDescent="0.2">
      <c r="A351" s="1508" t="s">
        <v>980</v>
      </c>
      <c r="B351" s="643" t="s">
        <v>574</v>
      </c>
      <c r="C351" s="481"/>
      <c r="D351" s="481"/>
      <c r="E351" s="481"/>
      <c r="F351" s="481"/>
      <c r="G351" s="481"/>
      <c r="H351" s="481"/>
      <c r="I351" s="478"/>
      <c r="J351" s="478"/>
      <c r="K351" s="615">
        <f>SUM(C351:J351)</f>
        <v>0</v>
      </c>
      <c r="L351" s="481"/>
    </row>
    <row r="352" spans="1:14" ht="12.75" customHeight="1" thickBot="1" x14ac:dyDescent="0.25">
      <c r="A352" s="1666" t="s">
        <v>624</v>
      </c>
      <c r="B352" s="1673" t="s">
        <v>569</v>
      </c>
      <c r="C352" s="1668">
        <f>SUM(C350:C351)</f>
        <v>0</v>
      </c>
      <c r="D352" s="1668">
        <f t="shared" ref="D352:L352" si="27">SUM(D350:D351)</f>
        <v>0</v>
      </c>
      <c r="E352" s="1668">
        <f t="shared" si="27"/>
        <v>0</v>
      </c>
      <c r="F352" s="1668">
        <f t="shared" si="27"/>
        <v>0</v>
      </c>
      <c r="G352" s="1668">
        <f t="shared" si="27"/>
        <v>0</v>
      </c>
      <c r="H352" s="1668">
        <f t="shared" si="27"/>
        <v>0</v>
      </c>
      <c r="I352" s="1668">
        <f t="shared" si="27"/>
        <v>0</v>
      </c>
      <c r="J352" s="1668">
        <f t="shared" si="27"/>
        <v>0</v>
      </c>
      <c r="K352" s="1668">
        <f t="shared" si="27"/>
        <v>0</v>
      </c>
      <c r="L352" s="1668">
        <f t="shared" si="27"/>
        <v>0</v>
      </c>
    </row>
    <row r="353" spans="1:14" s="343" customFormat="1" ht="15.75" customHeight="1" thickTop="1" x14ac:dyDescent="0.2">
      <c r="A353" s="1610" t="s">
        <v>625</v>
      </c>
      <c r="B353" s="1607" t="s">
        <v>860</v>
      </c>
      <c r="C353" s="616"/>
      <c r="D353" s="616"/>
      <c r="E353" s="616"/>
      <c r="F353" s="616"/>
      <c r="G353" s="616"/>
      <c r="H353" s="616"/>
      <c r="I353" s="616"/>
      <c r="J353" s="616"/>
      <c r="K353" s="616"/>
      <c r="L353" s="616"/>
      <c r="M353" s="609"/>
      <c r="N353" s="609"/>
    </row>
    <row r="354" spans="1:14" x14ac:dyDescent="0.2">
      <c r="A354" s="1832" t="s">
        <v>1849</v>
      </c>
      <c r="B354" s="683" t="s">
        <v>1841</v>
      </c>
      <c r="C354" s="616"/>
      <c r="D354" s="616"/>
      <c r="E354" s="616"/>
      <c r="F354" s="616"/>
      <c r="G354" s="616"/>
      <c r="H354" s="474"/>
      <c r="I354" s="701"/>
      <c r="J354" s="616"/>
      <c r="K354" s="1697">
        <f>H354</f>
        <v>0</v>
      </c>
      <c r="L354" s="471"/>
    </row>
    <row r="355" spans="1:14" ht="12.75" customHeight="1" x14ac:dyDescent="0.2">
      <c r="A355" s="1511" t="s">
        <v>1850</v>
      </c>
      <c r="B355" s="690" t="s">
        <v>1843</v>
      </c>
      <c r="C355" s="616"/>
      <c r="D355" s="616"/>
      <c r="E355" s="616"/>
      <c r="F355" s="616"/>
      <c r="G355" s="616"/>
      <c r="H355" s="467"/>
      <c r="I355" s="701"/>
      <c r="J355" s="616"/>
      <c r="K355" s="1741">
        <f>H355</f>
        <v>0</v>
      </c>
      <c r="L355" s="467"/>
    </row>
    <row r="356" spans="1:14" ht="12.75" customHeight="1" x14ac:dyDescent="0.2">
      <c r="A356" s="1832" t="s">
        <v>698</v>
      </c>
      <c r="B356" s="683" t="s">
        <v>558</v>
      </c>
      <c r="C356" s="616"/>
      <c r="D356" s="616"/>
      <c r="E356" s="616"/>
      <c r="F356" s="616"/>
      <c r="G356" s="616"/>
      <c r="H356" s="479"/>
      <c r="I356" s="701"/>
      <c r="J356" s="616"/>
      <c r="K356" s="1738">
        <f>H356</f>
        <v>0</v>
      </c>
      <c r="L356" s="479"/>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0" t="s">
        <v>948</v>
      </c>
      <c r="B358" s="1607"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2" t="s">
        <v>87</v>
      </c>
      <c r="B360" s="614">
        <v>5110</v>
      </c>
      <c r="C360" s="616"/>
      <c r="D360" s="616"/>
      <c r="E360" s="616"/>
      <c r="F360" s="616"/>
      <c r="G360" s="616"/>
      <c r="H360" s="467"/>
      <c r="I360" s="616"/>
      <c r="J360" s="616"/>
      <c r="K360" s="1669">
        <f>SUM(C360:J360)</f>
        <v>0</v>
      </c>
      <c r="L360" s="466"/>
    </row>
    <row r="361" spans="1:14" ht="12.75" customHeight="1" x14ac:dyDescent="0.2">
      <c r="A361" s="1503" t="s">
        <v>619</v>
      </c>
      <c r="B361" s="602" t="s">
        <v>618</v>
      </c>
      <c r="C361" s="616"/>
      <c r="D361" s="616"/>
      <c r="E361" s="616"/>
      <c r="F361" s="616"/>
      <c r="G361" s="616"/>
      <c r="H361" s="467"/>
      <c r="I361" s="616"/>
      <c r="J361" s="616"/>
      <c r="K361" s="1669">
        <f>SUM(C361:J361)</f>
        <v>0</v>
      </c>
      <c r="L361" s="466"/>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row>
    <row r="365" spans="1:14" s="674" customFormat="1" ht="12.75" customHeight="1" thickBot="1" x14ac:dyDescent="0.25">
      <c r="A365" s="1519"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4" t="s">
        <v>949</v>
      </c>
      <c r="B366" s="1611" t="s">
        <v>861</v>
      </c>
      <c r="C366" s="623"/>
      <c r="D366" s="623"/>
      <c r="E366" s="623"/>
      <c r="F366" s="623"/>
      <c r="G366" s="623"/>
      <c r="H366" s="623"/>
      <c r="I366" s="623"/>
      <c r="J366" s="616"/>
      <c r="K366" s="623"/>
      <c r="L366" s="573"/>
      <c r="M366" s="609"/>
      <c r="N366" s="609"/>
    </row>
    <row r="367" spans="1:14" ht="12.75" customHeight="1" thickTop="1" thickBot="1" x14ac:dyDescent="0.25">
      <c r="A367" s="1690" t="s">
        <v>505</v>
      </c>
      <c r="B367" s="1702"/>
      <c r="C367" s="1668">
        <f t="shared" ref="C367:L367" si="28">SUM(C352,C357,C365,C366)</f>
        <v>0</v>
      </c>
      <c r="D367" s="1668">
        <f t="shared" si="28"/>
        <v>0</v>
      </c>
      <c r="E367" s="1668">
        <f t="shared" si="28"/>
        <v>0</v>
      </c>
      <c r="F367" s="1668">
        <f t="shared" si="28"/>
        <v>0</v>
      </c>
      <c r="G367" s="1668">
        <f t="shared" si="28"/>
        <v>0</v>
      </c>
      <c r="H367" s="1668">
        <f t="shared" si="28"/>
        <v>0</v>
      </c>
      <c r="I367" s="1668">
        <f t="shared" si="28"/>
        <v>0</v>
      </c>
      <c r="J367" s="1668">
        <f t="shared" si="28"/>
        <v>0</v>
      </c>
      <c r="K367" s="1668">
        <f t="shared" si="28"/>
        <v>0</v>
      </c>
      <c r="L367" s="1668">
        <f t="shared" si="28"/>
        <v>0</v>
      </c>
    </row>
    <row r="368" spans="1:14" ht="13.5" thickTop="1" x14ac:dyDescent="0.2">
      <c r="A368" s="2183" t="s">
        <v>996</v>
      </c>
      <c r="B368" s="2184"/>
      <c r="C368" s="654"/>
      <c r="D368" s="654"/>
      <c r="E368" s="626"/>
      <c r="F368" s="626"/>
      <c r="G368" s="626"/>
      <c r="H368" s="626"/>
      <c r="I368" s="626"/>
      <c r="J368" s="623"/>
      <c r="K368" s="1669">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purl.org/dc/elements/1.1/"/>
    <ds:schemaRef ds:uri="4d435f69-8686-490b-bd6d-b153bf22ab50"/>
    <ds:schemaRef ds:uri="http://schemas.microsoft.com/office/2006/documentManagement/types"/>
    <ds:schemaRef ds:uri="http://schemas.microsoft.com/office/infopath/2007/PartnerControls"/>
    <ds:schemaRef ds:uri="d21dc803-237d-4c68-8692-8d731fd29118"/>
    <ds:schemaRef ds:uri="http://www.w3.org/XML/1998/namespace"/>
    <ds:schemaRef ds:uri="http://schemas.openxmlformats.org/package/2006/metadata/core-properties"/>
    <ds:schemaRef ds:uri="http://purl.org/dc/dcmitype/"/>
    <ds:schemaRef ds:uri="http://schemas.microsoft.com/sharepoint/v3"/>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SF&amp;QC Sec-3 (2)</vt:lpstr>
      <vt:lpstr>SF&amp;QC Sec-3 (3)</vt:lpstr>
      <vt:lpstr>SSPAF</vt:lpstr>
      <vt:lpstr>' SEFA'!Print_Area</vt:lpstr>
      <vt:lpstr>'SEFA NOTES'!Print_Area</vt:lpstr>
      <vt:lpstr>'SEFA Reconcile'!Print_Area</vt:lpstr>
      <vt:lpstr>'SF&amp;QC Sec-1'!Print_Area</vt:lpstr>
      <vt:lpstr>'SF&amp;QC Sec-3'!Print_Area</vt:lpstr>
      <vt:lpstr>'SF&amp;QC Sec-3 (2)'!Print_Area</vt:lpstr>
      <vt:lpstr>'SF&amp;QC Sec-3 (3)'!Print_Area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HOPKINS CONSTANCE</cp:lastModifiedBy>
  <cp:lastPrinted>2019-11-04T16:50:25Z</cp:lastPrinted>
  <dcterms:created xsi:type="dcterms:W3CDTF">2003-10-29T19:06:34Z</dcterms:created>
  <dcterms:modified xsi:type="dcterms:W3CDTF">2019-12-09T22:16:03Z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af5fa459-e813-40d0-a4a0-04e2c55a0d8a</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WPCSUniqueID">
    <vt:lpwstr>c193bd44-5be8-4128-9308-bcf79f7af389</vt:lpwstr>
  </property>
</Properties>
</file>