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B6997" i="106" s="1"/>
  <c r="D6997" i="106" s="1"/>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D27" i="108"/>
  <c r="E27" i="108"/>
  <c r="F27" i="108"/>
  <c r="G27" i="108"/>
  <c r="F28"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L13" i="11" l="1"/>
  <c r="B2060" i="106" s="1"/>
  <c r="D2060" i="106" s="1"/>
  <c r="F70" i="34"/>
  <c r="J41" i="3"/>
  <c r="C352" i="29"/>
  <c r="K76" i="4"/>
  <c r="B3586" i="106" s="1"/>
  <c r="D3586" i="106" s="1"/>
  <c r="F19" i="7"/>
  <c r="B1807" i="106" s="1"/>
  <c r="D1807" i="106" s="1"/>
  <c r="D7245" i="106"/>
  <c r="D6103" i="106"/>
  <c r="B1274" i="106"/>
  <c r="D1274" i="106" s="1"/>
  <c r="F37" i="34"/>
  <c r="G15" i="145"/>
  <c r="G29" i="108"/>
  <c r="B3647" i="106"/>
  <c r="D3647" i="106" s="1"/>
  <c r="K184" i="29"/>
  <c r="F13" i="4" s="1"/>
  <c r="B2596" i="106" s="1"/>
  <c r="D2596" i="106" s="1"/>
  <c r="G210" i="29"/>
  <c r="G26" i="108"/>
  <c r="I210" i="29"/>
  <c r="B7071" i="106" s="1"/>
  <c r="D7071" i="106" s="1"/>
  <c r="I129" i="29"/>
  <c r="B7037" i="106" s="1"/>
  <c r="D7037" i="106" s="1"/>
  <c r="H112" i="29"/>
  <c r="B7018" i="106" s="1"/>
  <c r="D7018" i="106" s="1"/>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L16" i="11" l="1"/>
  <c r="B2061" i="106" s="1"/>
  <c r="D2061" i="106" s="1"/>
  <c r="B1365" i="106"/>
  <c r="D1365" i="106" s="1"/>
  <c r="F65" i="34"/>
  <c r="I7" i="4"/>
  <c r="B4444" i="106" s="1"/>
  <c r="D4444" i="106" s="1"/>
  <c r="D7254" i="106"/>
  <c r="F66" i="34"/>
  <c r="D7256" i="106"/>
  <c r="D7251" i="106"/>
  <c r="L114" i="29"/>
  <c r="C114" i="29"/>
  <c r="B757" i="106" s="1"/>
  <c r="D75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1145" i="106"/>
  <c r="D1145"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<sst xmlns="http://schemas.openxmlformats.org/spreadsheetml/2006/main" count="5067" uniqueCount="2096">
  <si>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</si>
  <si>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</si>
  <si>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</si>
  <si>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</si>
  <si>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</si>
  <si>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</si>
  <si>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</si>
  <si>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</si>
  <si>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</si>
  <si>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</si>
  <si>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</si>
  <si>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</si>
  <si>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</si>
  <si>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</si>
  <si>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</si>
  <si>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</si>
  <si>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</si>
  <si>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</si>
  <si>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</si>
  <si>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</si>
  <si>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</si>
  <si>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</si>
  <si>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</si>
  <si>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</si>
  <si>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</si>
  <si>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</si>
  <si>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</si>
  <si>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</si>
  <si>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</si>
  <si>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</si>
  <si>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</si>
  <si>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</si>
  <si>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</si>
  <si>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</si>
  <si>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</si>
  <si>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</si>
  <si>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</si>
  <si>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</si>
  <si>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</si>
  <si>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</si>
  <si>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</si>
  <si>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</si>
  <si>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</si>
  <si>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</si>
  <si>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</si>
  <si>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</si>
  <si>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</si>
  <si>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</si>
  <si>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</si>
  <si>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</si>
  <si>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</si>
  <si>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</si>
  <si>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</si>
  <si>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</si>
  <si>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</si>
  <si>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</si>
  <si>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</si>
  <si>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</si>
  <si>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</si>
  <si>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</si>
  <si>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</si>
  <si>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</si>
  <si>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</si>
  <si>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</si>
  <si>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</si>
  <si>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</si>
  <si>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</si>
  <si>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</si>
  <si>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</si>
  <si>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</si>
  <si>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</si>
  <si>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</si>
  <si>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</si>
  <si>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</si>
  <si>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</si>
  <si>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</si>
  <si>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</si>
  <si>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</si>
  <si>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</si>
  <si>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</si>
  <si>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</si>
  <si>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</si>
  <si>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</si>
  <si>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</si>
  <si>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</si>
  <si>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</si>
  <si>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</si>
  <si>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</si>
  <si>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</si>
  <si>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</si>
  <si>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</si>
  <si>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</si>
  <si>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</si>
  <si>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</si>
  <si>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</si>
  <si>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</si>
  <si>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</si>
  <si>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</si>
  <si>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</si>
  <si>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</si>
  <si>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</si>
  <si>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</si>
  <si>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</si>
  <si>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</si>
  <si>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</si>
  <si>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</si>
  <si>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</si>
  <si>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</si>
  <si>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</si>
  <si>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</si>
  <si>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</si>
  <si>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</si>
  <si>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</si>
  <si>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</si>
  <si>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</si>
  <si>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</si>
  <si>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</si>
  <si>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</si>
  <si>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</si>
  <si>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</si>
  <si>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</si>
  <si>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</si>
  <si>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</si>
  <si>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</si>
  <si>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</si>
  <si>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</si>
  <si>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</si>
  <si>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</si>
  <si>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</si>
  <si>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</si>
  <si>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</si>
  <si>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</si>
  <si>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</si>
  <si>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</si>
  <si>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</si>
  <si>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</si>
  <si>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</si>
  <si>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</si>
  <si>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</si>
  <si>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</si>
  <si>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</si>
  <si>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</si>
  <si>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</si>
  <si>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</si>
  <si>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</si>
  <si>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</si>
  <si>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</si>
  <si>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</si>
  <si>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</si>
  <si>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</si>
  <si>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</si>
  <si>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</si>
  <si>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</si>
  <si>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</si>
  <si>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</si>
  <si>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</si>
  <si>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</si>
  <si>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</si>
  <si>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</si>
  <si>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</si>
  <si>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</si>
  <si>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</si>
  <si>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</si>
  <si>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</si>
  <si>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</si>
  <si>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</si>
  <si>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</si>
  <si>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</si>
  <si>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</si>
  <si>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</si>
  <si>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</si>
  <si>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</si>
  <si>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</si>
  <si>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</si>
  <si>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</si>
  <si>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</si>
  <si>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</si>
  <si>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</si>
  <si>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</si>
  <si>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</si>
  <si>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</si>
  <si>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</si>
  <si>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</si>
  <si>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</si>
  <si>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</si>
  <si>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</si>
  <si>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</si>
  <si>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</si>
  <si>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</si>
  <si>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</si>
  <si>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</si>
  <si>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</si>
  <si>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</si>
  <si>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</si>
  <si>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</si>
  <si>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</si>
  <si>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</si>
  <si>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</si>
  <si>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</si>
  <si>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</si>
  <si>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</si>
  <si>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</si>
  <si>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</si>
  <si>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</si>
  <si>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</si>
  <si>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</si>
  <si>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</si>
  <si>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</si>
  <si>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</si>
  <si>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</si>
  <si>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</si>
  <si>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</si>
  <si>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</si>
  <si>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</si>
  <si>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</si>
  <si>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</si>
  <si>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</si>
  <si>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</si>
  <si>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</si>
  <si>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</si>
  <si>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</si>
  <si>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</si>
  <si>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</si>
  <si>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</si>
  <si>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</si>
  <si>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</si>
  <si>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</si>
  <si>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</si>
  <si>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</si>
  <si>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</si>
  <si>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</si>
  <si>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</si>
  <si>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</si>
  <si>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</si>
  <si>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</si>
  <si>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</si>
  <si>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</si>
  <si>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</si>
  <si>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</si>
  <si>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</si>
  <si>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</si>
  <si>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</si>
  <si>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</si>
  <si>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</si>
  <si>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</si>
  <si>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</si>
  <si>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</si>
  <si>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</si>
  <si>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</si>
  <si>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</si>
  <si>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</si>
  <si>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</si>
  <si>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</si>
  <si>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</si>
  <si>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</si>
  <si>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</si>
  <si>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</si>
  <si>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</si>
  <si>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</si>
  <si>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</si>
  <si>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</si>
  <si>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</si>
  <si>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</si>
  <si>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</si>
  <si>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</si>
  <si>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</si>
  <si>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</si>
  <si>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</si>
  <si>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</si>
  <si>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</si>
  <si>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</si>
  <si>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</si>
  <si>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</si>
  <si>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</si>
  <si>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</si>
  <si>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</si>
  <si>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</si>
  <si>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</si>
  <si>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</si>
  <si>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</si>
  <si>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</si>
  <si>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</si>
  <si>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</si>
  <si>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</si>
  <si>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</si>
  <si>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</si>
  <si>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</si>
  <si>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</si>
  <si>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</si>
  <si>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</si>
  <si>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</si>
  <si>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</si>
  <si>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</si>
  <si>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</si>
  <si>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</si>
  <si>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</si>
  <si>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</si>
  <si>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</si>
  <si>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</si>
  <si>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</si>
  <si>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</si>
  <si>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</si>
  <si>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</si>
  <si>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</si>
  <si>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</si>
  <si>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</si>
  <si>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</si>
  <si>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</si>
  <si>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</si>
  <si>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</si>
  <si>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</si>
  <si>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</si>
  <si>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</si>
  <si>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</si>
  <si>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</si>
  <si>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</si>
  <si>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</si>
  <si>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</si>
  <si>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</si>
  <si>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</si>
  <si>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</si>
  <si>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</si>
  <si>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</si>
  <si>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</si>
  <si>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</si>
  <si>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</si>
  <si>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</si>
  <si>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</si>
  <si>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</si>
  <si>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</si>
  <si>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</si>
  <si>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</si>
  <si>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</si>
  <si>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</si>
  <si>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</si>
  <si>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</si>
  <si>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</si>
  <si>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</si>
  <si>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</si>
  <si>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</si>
  <si>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</si>
  <si>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</si>
  <si>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</si>
  <si>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</si>
  <si>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</si>
  <si>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</si>
  <si>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</si>
  <si>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</si>
  <si>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</si>
  <si>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</si>
  <si>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</si>
  <si>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</si>
  <si>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</si>
  <si>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</si>
  <si>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</si>
  <si>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</si>
  <si>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</si>
  <si>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</si>
  <si>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</si>
  <si>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</si>
  <si>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</si>
  <si>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</si>
  <si>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</si>
  <si>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</si>
  <si>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</si>
  <si>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</si>
  <si>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</si>
  <si>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</si>
  <si>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</si>
  <si>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</si>
  <si>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</si>
  <si>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</si>
  <si>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</si>
  <si>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</si>
  <si>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</si>
  <si>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</si>
  <si>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</si>
  <si>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</si>
  <si>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</si>
  <si>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</si>
  <si>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</si>
  <si>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</si>
  <si>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</si>
  <si>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</si>
  <si>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</si>
  <si>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</si>
  <si>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</si>
  <si>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</si>
  <si>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</si>
  <si>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</si>
  <si>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</si>
  <si>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</si>
  <si>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</si>
  <si>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</si>
  <si>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</si>
  <si>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</si>
  <si>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</si>
  <si>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</si>
  <si>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</si>
  <si>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</si>
  <si>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</si>
  <si>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</si>
  <si>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</si>
  <si>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</si>
  <si>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</si>
  <si>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</si>
  <si>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</si>
  <si>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</si>
  <si>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</si>
  <si>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</si>
  <si>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</si>
  <si>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</si>
  <si>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</si>
  <si>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</si>
  <si>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</si>
  <si>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</si>
  <si>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</si>
  <si>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</si>
  <si>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</si>
  <si>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</si>
  <si>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</si>
  <si>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</si>
  <si>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</si>
  <si>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</si>
  <si>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</si>
  <si>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</si>
  <si>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</si>
  <si>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</si>
  <si>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</si>
  <si>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</si>
  <si>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</si>
  <si>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</si>
  <si>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</si>
  <si>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</si>
  <si>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</si>
  <si>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</si>
  <si>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</si>
  <si>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</si>
  <si>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</si>
  <si>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</si>
  <si>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</si>
  <si>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</si>
  <si>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</si>
  <si>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</si>
  <si>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</si>
  <si>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</si>
  <si>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</si>
  <si>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</si>
  <si>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</si>
  <si>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</si>
  <si>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</si>
  <si>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</si>
  <si>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</si>
  <si>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</si>
  <si>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</si>
  <si>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</si>
  <si>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</si>
  <si>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</si>
  <si>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</si>
  <si>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</si>
  <si>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</si>
  <si>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</si>
  <si>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</si>
  <si>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</si>
  <si>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</si>
  <si>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</si>
  <si>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</si>
  <si>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</si>
  <si>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</si>
  <si>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</si>
  <si>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</si>
  <si>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</si>
  <si>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</si>
  <si>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</si>
  <si>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</si>
  <si>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</si>
  <si>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</si>
  <si>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</si>
  <si>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</si>
  <si>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</si>
  <si>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</si>
  <si>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</si>
  <si>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</si>
  <si>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</si>
  <si>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</si>
  <si>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</si>
  <si>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</si>
  <si>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</si>
  <si>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</si>
  <si>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</si>
  <si>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</si>
  <si>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</si>
  <si>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</si>
  <si>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</si>
  <si>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</si>
  <si>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</si>
  <si>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</si>
  <si>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</si>
  <si>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</si>
  <si>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</si>
  <si>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</si>
  <si>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</si>
  <si>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</si>
  <si>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</si>
  <si>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</si>
  <si>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</si>
  <si>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</si>
  <si>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</si>
  <si>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</si>
  <si>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</si>
  <si>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</si>
  <si>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</si>
  <si>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</si>
  <si>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</si>
  <si>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</si>
  <si>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</si>
  <si>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</si>
  <si>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</si>
  <si>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</si>
  <si>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</si>
  <si>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</si>
  <si>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</si>
  <si>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</si>
  <si>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</si>
  <si>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</si>
  <si>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</si>
  <si>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</si>
  <si>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</si>
  <si>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</si>
  <si>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</si>
  <si>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</si>
  <si>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</si>
  <si>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</si>
  <si>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</si>
  <si>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</si>
  <si>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</si>
  <si>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</si>
  <si>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</si>
  <si>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</si>
  <si>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</si>
  <si>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</si>
  <si>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</si>
  <si>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</si>
  <si>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</si>
  <si>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</si>
  <si>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</si>
  <si>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</si>
  <si>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</si>
  <si>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</si>
  <si>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</si>
  <si>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</si>
  <si>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</si>
  <si>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</si>
  <si>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</si>
  <si>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</si>
  <si>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</si>
  <si>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</si>
  <si>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</si>
  <si>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</si>
  <si>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</si>
  <si>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</si>
  <si>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</si>
  <si>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</si>
  <si>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</si>
  <si>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</si>
  <si>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</si>
  <si>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</si>
  <si>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</si>
  <si>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</si>
  <si>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</si>
  <si>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</si>
  <si>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</si>
  <si>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</si>
  <si>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</si>
  <si>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</si>
  <si>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</si>
  <si>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</si>
  <si>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</si>
  <si>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</si>
  <si>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</si>
  <si>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</si>
  <si>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</si>
  <si>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</si>
  <si>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</si>
  <si>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</si>
  <si>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</si>
  <si>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</si>
  <si>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</si>
  <si>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</si>
  <si>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</si>
  <si>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</si>
  <si>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</si>
  <si>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</si>
  <si>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</si>
  <si>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</si>
  <si>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</si>
  <si>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</si>
  <si>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</si>
  <si>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</si>
  <si>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</si>
  <si>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</si>
  <si>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</si>
  <si>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</si>
  <si>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</si>
  <si>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</si>
  <si>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</si>
  <si>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</si>
  <si>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</si>
  <si>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</si>
  <si>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</si>
  <si>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</si>
  <si>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</si>
  <si>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</si>
  <si>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</si>
  <si>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</si>
  <si>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</si>
  <si>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</si>
  <si>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</si>
  <si>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</si>
  <si>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</si>
  <si>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</si>
  <si>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</si>
  <si>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</si>
  <si>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</si>
  <si>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</si>
  <si>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</si>
  <si>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</si>
  <si>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</si>
  <si>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</si>
  <si>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</si>
  <si>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</si>
  <si>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</si>
  <si>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</si>
  <si>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</si>
  <si>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</si>
  <si>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</si>
  <si>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</si>
  <si>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</si>
  <si>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</si>
  <si>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</si>
  <si>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</si>
  <si>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</si>
  <si>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</si>
  <si>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</si>
  <si>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</si>
  <si>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</si>
  <si>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</si>
  <si>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</si>
  <si>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</si>
  <si>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</si>
  <si>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</si>
  <si>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</si>
  <si>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</si>
  <si>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</si>
  <si>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</si>
  <si>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</si>
  <si>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</si>
  <si>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</si>
  <si>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</si>
  <si>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</si>
  <si>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</si>
  <si>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</si>
  <si>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</si>
  <si>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</si>
  <si>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</si>
  <si>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</si>
  <si>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</si>
  <si>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</si>
  <si>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</si>
  <si>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</si>
  <si>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</si>
  <si>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</si>
  <si>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</si>
  <si>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</si>
  <si>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</si>
  <si>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</si>
  <si>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</si>
  <si>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</si>
  <si>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</si>
  <si>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</si>
  <si>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</si>
  <si>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</si>
  <si>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</si>
  <si>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</si>
  <si>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</si>
  <si>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</si>
  <si>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</si>
  <si>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</si>
  <si>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</si>
  <si>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</si>
  <si>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</si>
  <si>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</si>
  <si>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</si>
  <si>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</si>
  <si>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</si>
  <si>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</si>
  <si>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</si>
  <si>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</si>
  <si>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</si>
  <si>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</si>
  <si>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</si>
  <si>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</si>
  <si>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</si>
  <si>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</si>
  <si>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</si>
  <si>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</si>
  <si>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</si>
  <si>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</si>
  <si>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</si>
  <si>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</si>
  <si>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</si>
  <si>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</si>
  <si>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</si>
  <si>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</si>
  <si>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</si>
  <si>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</si>
  <si>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</si>
  <si>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</si>
  <si>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</si>
  <si>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</si>
  <si>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</si>
  <si>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</si>
  <si>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</si>
  <si>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</si>
  <si>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</si>
  <si>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</si>
  <si>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</si>
  <si>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</si>
  <si>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</si>
  <si>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</si>
  <si>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</si>
  <si>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</si>
  <si>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</si>
  <si>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</si>
  <si>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</si>
  <si>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</si>
  <si>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</si>
  <si>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</si>
  <si>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</si>
  <si>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</si>
  <si>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</si>
  <si>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</si>
  <si>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</si>
  <si>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</si>
  <si>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</si>
  <si>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</si>
  <si>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</si>
  <si>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</si>
  <si>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</si>
  <si>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</si>
  <si>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</si>
  <si>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</si>
  <si>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</si>
  <si>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</si>
  <si>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</si>
  <si>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</si>
  <si>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</si>
  <si>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</si>
  <si>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</si>
  <si>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</si>
  <si>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</si>
  <si>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</si>
  <si>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</si>
  <si>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</si>
  <si>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</si>
  <si>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</si>
  <si>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</si>
  <si>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</si>
  <si>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</si>
  <si>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</si>
  <si>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</si>
  <si>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</si>
  <si>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</si>
  <si>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</si>
  <si>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</si>
  <si>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</si>
  <si>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</si>
  <si>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</si>
  <si>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</si>
  <si>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</si>
  <si>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</si>
  <si>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</si>
  <si>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</si>
  <si>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</si>
  <si>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</si>
  <si>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</si>
  <si>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</si>
  <si>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</si>
  <si>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</si>
  <si>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</si>
  <si>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</si>
  <si>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</si>
  <si>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</si>
  <si>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</si>
  <si>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</si>
  <si>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</si>
  <si>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</si>
  <si>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</si>
  <si>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</si>
  <si>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</si>
  <si>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</si>
  <si>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</si>
  <si>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</si>
  <si>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</si>
  <si>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</si>
  <si>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</si>
  <si>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</si>
  <si>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</si>
  <si>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</si>
  <si>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</si>
  <si>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</si>
  <si>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</si>
  <si>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</si>
  <si>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</si>
  <si>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</si>
  <si>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</si>
  <si>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</si>
  <si>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</si>
  <si>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</si>
  <si>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</si>
  <si>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</si>
  <si>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</si>
  <si>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</si>
  <si>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</si>
  <si>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</si>
  <si>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</si>
  <si>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</si>
  <si>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</si>
  <si>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</si>
  <si>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</si>
  <si>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</si>
  <si>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</si>
  <si>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</si>
  <si>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</si>
  <si>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</si>
  <si>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</si>
  <si>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</si>
  <si>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</si>
  <si>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</si>
  <si>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</si>
  <si>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</si>
  <si>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</si>
  <si>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</si>
  <si>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</si>
  <si>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</si>
  <si>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</si>
  <si>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</si>
  <si>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</si>
  <si>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</si>
  <si>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</si>
  <si>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</si>
  <si>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</si>
  <si>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</si>
  <si>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</si>
  <si>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</si>
  <si>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</si>
  <si>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</si>
  <si>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</si>
  <si>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</si>
  <si>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</si>
  <si>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</si>
  <si>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</si>
  <si>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</si>
  <si>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</si>
  <si>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</si>
  <si>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</si>
  <si>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</si>
  <si>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</si>
  <si>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</si>
  <si>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</si>
  <si>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</si>
  <si>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</si>
  <si>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</si>
  <si>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</si>
  <si>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</si>
  <si>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</si>
  <si>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</si>
  <si>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</si>
  <si>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</si>
  <si>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</si>
  <si>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</si>
  <si>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</si>
  <si>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</si>
  <si>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</si>
  <si>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</si>
  <si>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</si>
  <si>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</si>
  <si>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</si>
  <si>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</si>
  <si>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</si>
  <si>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</si>
  <si>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</si>
  <si>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</si>
  <si>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</si>
  <si>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</si>
  <si>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</si>
  <si>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</si>
  <si>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</si>
  <si>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</si>
  <si>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</si>
  <si>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</si>
  <si>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</si>
  <si>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</si>
  <si>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</si>
  <si>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</si>
  <si>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</si>
  <si>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</si>
  <si>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</si>
  <si>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</si>
  <si>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</si>
  <si>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</si>
  <si>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</si>
  <si>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</si>
  <si>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</si>
  <si>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</si>
  <si>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</si>
  <si>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</si>
  <si>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</si>
  <si>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</si>
  <si>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</si>
  <si>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</si>
  <si>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</si>
  <si>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</si>
  <si>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</si>
  <si>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</si>
  <si>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</si>
  <si>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</si>
  <si>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</si>
  <si>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</si>
  <si>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</si>
  <si>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</si>
  <si>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</si>
  <si>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</si>
  <si>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</si>
  <si>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</si>
  <si>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</si>
  <si>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</si>
  <si>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</si>
  <si>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</si>
  <si>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</si>
  <si>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</si>
  <si>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</si>
  <si>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</si>
  <si>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</si>
  <si>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</si>
  <si>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</si>
  <si>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</si>
  <si>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</si>
  <si>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</si>
  <si>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</si>
  <si>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</si>
  <si>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</si>
  <si>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</si>
  <si>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</si>
  <si>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</si>
  <si>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</si>
  <si>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</si>
  <si>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</si>
  <si>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</si>
  <si>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</si>
  <si>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</si>
  <si>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</si>
  <si>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</si>
  <si>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</si>
  <si>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</si>
  <si>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</si>
  <si>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</si>
  <si>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</si>
  <si>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</si>
  <si>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</si>
  <si>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</si>
  <si>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</si>
  <si>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</si>
  <si>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</si>
  <si>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</si>
  <si>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</si>
  <si>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</si>
  <si>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</si>
  <si>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</si>
  <si>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</si>
  <si>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</si>
  <si>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</si>
  <si>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</si>
  <si>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</si>
  <si>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</si>
  <si>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</si>
  <si>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</si>
  <si>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</si>
  <si>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</si>
  <si>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</si>
  <si>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</si>
  <si>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</si>
  <si>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</si>
  <si>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</si>
  <si>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</si>
  <si>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</si>
  <si>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</si>
  <si>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</si>
  <si>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</si>
  <si>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</si>
  <si>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</si>
  <si>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</si>
  <si>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</si>
  <si>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</si>
  <si>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</si>
  <si>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</si>
  <si>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</si>
  <si>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</si>
  <si>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</si>
  <si>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</si>
  <si>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</si>
  <si>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</si>
  <si>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</si>
  <si>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</si>
  <si>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</si>
  <si>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</si>
  <si>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</si>
  <si>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</si>
  <si>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</si>
  <si>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</si>
  <si>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</si>
  <si>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</si>
  <si>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</si>
  <si>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</si>
  <si>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</si>
  <si>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</si>
  <si>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</si>
  <si>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</si>
  <si>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</si>
  <si>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</si>
  <si>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</si>
  <si>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</si>
  <si>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</si>
  <si>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</si>
  <si>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</si>
  <si>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</si>
  <si>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</si>
  <si>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</si>
  <si>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</si>
  <si>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</si>
  <si>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</si>
  <si>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</si>
  <si>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</si>
  <si>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</si>
  <si>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</si>
  <si>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</si>
  <si>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</si>
  <si>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</si>
  <si>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</si>
  <si>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</si>
  <si>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</si>
  <si>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</si>
  <si>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</si>
  <si>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</si>
  <si>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</si>
  <si>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</si>
  <si>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</si>
  <si>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</si>
  <si>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</si>
  <si>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</si>
  <si>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</si>
  <si>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</si>
  <si>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</si>
  <si>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</si>
  <si>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</si>
  <si>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</si>
  <si>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</si>
  <si>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</si>
  <si>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</si>
  <si>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</si>
  <si>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</si>
  <si>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</si>
  <si>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</si>
  <si>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</si>
  <si>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</si>
  <si>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</si>
  <si>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</si>
  <si>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</si>
  <si>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</si>
  <si>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</si>
  <si>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</si>
  <si>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</si>
  <si>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</si>
  <si>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</si>
  <si>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</si>
  <si>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</si>
  <si>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</si>
  <si>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</si>
  <si>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</si>
  <si>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</si>
  <si>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</si>
  <si>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</si>
  <si>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</si>
  <si>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</si>
  <si>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</si>
  <si>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</si>
  <si>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</si>
  <si>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</si>
  <si>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</si>
  <si>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</si>
  <si>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</si>
  <si>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</si>
  <si>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</si>
  <si>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</si>
  <si>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</si>
  <si>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</si>
  <si>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</si>
  <si>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</si>
  <si>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</si>
  <si>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</si>
  <si>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</si>
  <si>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</si>
  <si>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</si>
  <si>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</si>
  <si>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</si>
  <si>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</si>
  <si>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</si>
  <si>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</si>
  <si>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</si>
  <si>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</si>
  <si>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</si>
  <si>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</si>
  <si>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</si>
  <si>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</si>
  <si>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</si>
  <si>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</si>
  <si>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</si>
  <si>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</si>
  <si>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</si>
  <si>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</si>
  <si>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</si>
  <si>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</si>
  <si>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</si>
  <si>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</si>
  <si>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</si>
  <si>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</si>
  <si>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</si>
  <si>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</si>
  <si>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</si>
  <si>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</si>
  <si>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</si>
  <si>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</si>
  <si>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</si>
  <si>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</si>
  <si>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</si>
  <si>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</si>
  <si>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</si>
  <si>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</si>
  <si>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</si>
  <si>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</si>
  <si>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</si>
  <si>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</si>
  <si>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</si>
  <si>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</si>
  <si>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</si>
  <si>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</si>
  <si>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</si>
  <si>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</si>
  <si>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</si>
  <si>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</si>
  <si>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</si>
  <si>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</si>
  <si>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</si>
  <si>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</si>
  <si>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</si>
  <si>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</si>
  <si>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</si>
  <si>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</si>
  <si>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</si>
  <si>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</si>
  <si>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</si>
  <si>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</si>
  <si>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</si>
  <si>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</si>
  <si>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</si>
  <si>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</si>
  <si>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</si>
  <si>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</si>
  <si>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</si>
  <si>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</si>
  <si>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</si>
  <si>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</si>
  <si>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</si>
  <si>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</si>
  <si>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</si>
  <si>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</si>
  <si>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</si>
  <si>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</si>
  <si>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</si>
  <si>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</si>
  <si>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</si>
  <si>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</si>
  <si>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</si>
  <si>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</si>
  <si>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</si>
  <si>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</si>
  <si>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</si>
  <si>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</si>
  <si>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</si>
  <si>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</si>
  <si>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</si>
  <si>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</si>
  <si>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</si>
  <si>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</si>
  <si>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</si>
  <si>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</si>
  <si>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</si>
  <si>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</si>
  <si>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</si>
  <si>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</si>
  <si>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</si>
  <si>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</si>
  <si>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</si>
  <si>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</si>
  <si>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</si>
  <si>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</si>
  <si>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</si>
  <si>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</si>
  <si>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</si>
  <si>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</si>
  <si>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</si>
  <si>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</si>
  <si>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</si>
  <si>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</si>
  <si>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</si>
  <si>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</si>
  <si>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</si>
  <si>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</si>
  <si>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</si>
  <si>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</si>
  <si>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</si>
  <si>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</si>
  <si>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</si>
  <si>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</si>
  <si>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</si>
  <si>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</si>
  <si>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</si>
  <si>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</si>
  <si>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</si>
  <si>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</si>
  <si>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</si>
  <si>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</si>
  <si>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</si>
  <si>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</si>
  <si>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</si>
  <si>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</si>
  <si>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</si>
  <si>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</si>
  <si>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</si>
  <si>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</si>
  <si>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</si>
  <si>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</si>
  <si>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</si>
  <si>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</si>
  <si>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</si>
  <si>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</si>
  <si>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</si>
  <si>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</si>
  <si>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</si>
  <si>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</si>
  <si>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</si>
  <si>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</si>
  <si>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</si>
  <si>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</si>
  <si>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</si>
  <si>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</si>
  <si>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</si>
  <si>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</si>
  <si>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</si>
  <si>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</si>
  <si>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</si>
  <si>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</si>
  <si>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</si>
  <si>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</si>
  <si>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</si>
  <si>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</si>
  <si>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</si>
  <si>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</si>
  <si>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</si>
  <si>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</si>
  <si>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</si>
  <si>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</si>
  <si>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</si>
  <si>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</si>
  <si>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</si>
  <si>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</si>
  <si>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</si>
  <si>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</si>
  <si>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</si>
  <si>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</si>
  <si>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</si>
  <si>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</si>
  <si>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</si>
  <si>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</si>
  <si>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</si>
  <si>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</si>
  <si>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</si>
  <si>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</si>
  <si>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</si>
  <si>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</si>
  <si>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</si>
  <si>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</si>
  <si>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</si>
  <si>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</si>
  <si>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</si>
  <si>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</si>
  <si>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</si>
  <si>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</si>
  <si>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</si>
  <si>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</si>
  <si>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</si>
  <si>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</si>
  <si>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</si>
  <si>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</si>
  <si>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</si>
  <si>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</si>
  <si>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</si>
  <si>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</si>
  <si>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</si>
  <si>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</si>
  <si>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</si>
  <si>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</si>
  <si>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</si>
  <si>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</si>
  <si>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</si>
  <si>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</si>
  <si>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</si>
  <si>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</si>
  <si>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</si>
  <si>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</si>
  <si>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</si>
  <si>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</si>
  <si>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</si>
  <si>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</si>
  <si>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</si>
  <si>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</si>
  <si>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</si>
  <si>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</si>
  <si>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</si>
  <si>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</si>
  <si>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</si>
  <si>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</si>
  <si>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</si>
  <si>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</si>
  <si>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</si>
  <si>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</si>
  <si>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</si>
  <si>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</si>
  <si>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</si>
  <si>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</si>
  <si>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</si>
  <si>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</si>
  <si>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</si>
  <si>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</si>
  <si>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</si>
  <si>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</si>
  <si>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</si>
  <si>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</si>
  <si>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</si>
  <si>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</si>
  <si>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</si>
  <si>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</si>
  <si>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</si>
  <si>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</si>
  <si>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</si>
  <si>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</si>
  <si>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</si>
  <si>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</si>
  <si>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</si>
  <si>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</si>
  <si>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</si>
  <si>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</si>
  <si>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</si>
  <si>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</si>
  <si>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</si>
  <si>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</si>
  <si>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</si>
  <si>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</si>
  <si>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</si>
  <si>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</si>
  <si>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</si>
  <si>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</si>
  <si>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</si>
  <si>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</si>
  <si>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</si>
  <si>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</si>
  <si>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</si>
  <si>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</si>
  <si>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</si>
  <si>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</si>
  <si>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</si>
  <si>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</si>
  <si>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</si>
  <si>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</si>
  <si>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</si>
  <si>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</si>
  <si>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</si>
  <si>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</si>
  <si>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</si>
  <si>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</si>
  <si>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</si>
  <si>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</si>
  <si>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</si>
  <si>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</si>
  <si>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</si>
  <si>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</si>
  <si>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</si>
  <si>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</si>
  <si>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</si>
  <si>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</si>
  <si>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</si>
  <si>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</si>
  <si>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</si>
  <si>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</si>
  <si>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</si>
  <si>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</si>
  <si>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</si>
  <si>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</si>
  <si>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</si>
  <si>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</si>
  <si>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</si>
  <si>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</si>
  <si>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</si>
  <si>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</si>
  <si>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</si>
  <si>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</si>
  <si>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</si>
  <si>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</si>
  <si>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</si>
  <si>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</si>
  <si>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</si>
  <si>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</si>
  <si>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</si>
  <si>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</si>
  <si>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</si>
  <si>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</si>
  <si>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</si>
  <si>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</si>
  <si>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</si>
  <si>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</si>
  <si>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</si>
  <si>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</si>
  <si>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</si>
  <si>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</si>
  <si>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</si>
  <si>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</si>
  <si>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</si>
  <si>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</si>
  <si>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</si>
  <si>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</si>
  <si>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</si>
  <si>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</si>
  <si>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</si>
  <si>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</si>
  <si>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</si>
  <si>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</si>
  <si>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</si>
  <si>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</si>
  <si>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</si>
  <si>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</si>
  <si>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</si>
  <si>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</si>
  <si>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</si>
  <si>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</si>
  <si>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</si>
  <si>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</si>
  <si>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</si>
  <si>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</si>
  <si>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</si>
  <si>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</si>
  <si>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</si>
  <si>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</si>
  <si>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</si>
  <si>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</si>
  <si>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</si>
  <si>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</si>
  <si>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</si>
  <si>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</si>
  <si>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</si>
  <si>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</si>
  <si>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</si>
  <si>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</si>
  <si>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</si>
  <si>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</si>
  <si>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</si>
  <si>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</si>
  <si>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</si>
  <si>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</si>
  <si>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</si>
  <si>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</si>
  <si>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</si>
  <si>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</si>
  <si>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</si>
  <si>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</si>
  <si>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</si>
  <si>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</si>
  <si>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</si>
  <si>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</si>
  <si>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</si>
  <si>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</si>
  <si>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</si>
  <si>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</si>
  <si>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</si>
  <si>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</si>
  <si>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</si>
  <si>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</si>
  <si>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</si>
  <si>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</si>
  <si>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</si>
  <si>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</si>
  <si>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</si>
  <si>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</si>
  <si>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</si>
  <si>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</si>
  <si>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</si>
  <si>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</si>
  <si>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</si>
  <si>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</si>
  <si>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</si>
  <si>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</si>
  <si>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</si>
  <si>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</si>
  <si>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</si>
  <si>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</si>
  <si>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</si>
  <si>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</si>
  <si>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</si>
  <si>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</si>
  <si>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</si>
  <si>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</si>
  <si>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</si>
  <si>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</si>
  <si>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</si>
  <si>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</si>
  <si>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</si>
  <si>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</si>
  <si>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</si>
  <si>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</si>
  <si>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</si>
  <si>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</si>
  <si>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</si>
  <si>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</si>
  <si>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</si>
  <si>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</si>
  <si>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</si>
  <si>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</si>
  <si>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</si>
  <si>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</si>
  <si>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</si>
  <si>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</si>
  <si>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</si>
  <si>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</si>
  <si>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</si>
  <si>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</si>
  <si>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</si>
  <si>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</si>
  <si>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</si>
  <si>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</si>
  <si>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</si>
  <si>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</si>
  <si>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</si>
  <si>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</si>
  <si>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</si>
  <si>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</si>
  <si>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</si>
  <si>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</si>
  <si>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</si>
  <si>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</si>
  <si>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</si>
  <si>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</si>
  <si>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</si>
  <si>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</si>
  <si>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</si>
  <si>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</si>
  <si>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</si>
  <si>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</si>
  <si>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</si>
  <si>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</si>
  <si>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</si>
  <si>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</si>
  <si>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</si>
  <si>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</si>
  <si>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</si>
  <si>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</si>
  <si>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</si>
  <si>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</si>
  <si>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</si>
  <si>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</si>
  <si>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</si>
  <si>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</si>
  <si>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</si>
  <si>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</si>
  <si>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</si>
  <si>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</si>
  <si>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</si>
  <si>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</si>
  <si>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</si>
  <si>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</si>
  <si>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</si>
  <si>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</si>
  <si>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</si>
  <si>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</si>
  <si>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</si>
  <si>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</si>
  <si>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</si>
  <si>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</si>
  <si>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</si>
  <si>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</si>
  <si>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</si>
  <si>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</si>
  <si>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</si>
  <si>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</si>
  <si>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</si>
  <si>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</si>
  <si>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</si>
  <si>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</si>
  <si>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</si>
  <si>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</si>
  <si>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</si>
  <si>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</si>
  <si>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</si>
  <si>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</si>
  <si>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</si>
  <si>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</si>
  <si>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</si>
  <si>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</si>
  <si>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</si>
  <si>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</si>
  <si>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</si>
  <si>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</si>
  <si>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</si>
  <si>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</si>
  <si>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</si>
  <si>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</si>
  <si>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</si>
  <si>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</si>
  <si>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</si>
  <si>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</si>
  <si>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</si>
  <si>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</si>
  <si>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</si>
  <si>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</si>
  <si>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</si>
  <si>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</si>
  <si>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</si>
  <si>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</si>
  <si>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</si>
  <si>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</si>
  <si>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</si>
  <si>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</si>
  <si>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</si>
  <si>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</si>
  <si>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</si>
  <si>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</si>
  <si>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</si>
  <si>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</si>
  <si>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</si>
  <si>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</si>
  <si>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</si>
  <si>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</si>
  <si>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</si>
  <si>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</si>
  <si>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</si>
  <si>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</si>
  <si>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</si>
  <si>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</si>
  <si>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</si>
  <si>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</si>
  <si>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</si>
  <si>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</si>
  <si>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</si>
  <si>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</si>
  <si>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</si>
  <si>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</si>
  <si>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</si>
  <si>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</si>
  <si>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</si>
  <si>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</si>
  <si>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</si>
  <si>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</si>
  <si>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</si>
  <si>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</si>
  <si>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</si>
  <si>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</si>
  <si>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</si>
  <si>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</si>
  <si>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</si>
  <si>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</si>
  <si>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</si>
  <si>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</si>
  <si>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</si>
  <si>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</si>
  <si>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</si>
  <si>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</si>
  <si>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</si>
  <si>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</si>
  <si>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</si>
  <si>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</si>
  <si>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</si>
  <si>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</si>
  <si>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</si>
  <si>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</si>
  <si>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</si>
  <si>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</si>
  <si>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</si>
  <si>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</si>
  <si>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</si>
  <si>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</si>
  <si>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</si>
  <si>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</si>
  <si>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</si>
  <si>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</si>
  <si>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</si>
  <si>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</si>
  <si>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</si>
  <si>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</si>
  <si>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</si>
  <si>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</si>
  <si>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</si>
  <si>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</si>
  <si>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</si>
  <si>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</si>
  <si>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</si>
  <si>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</si>
  <si>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</si>
  <si>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</si>
  <si>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</si>
  <si>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</si>
  <si>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</si>
  <si>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</si>
  <si>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</si>
  <si>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</si>
  <si>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</si>
  <si>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</si>
  <si>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</si>
  <si>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</si>
  <si>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</si>
  <si>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</si>
  <si>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</si>
  <si>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</si>
  <si>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</si>
  <si>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</si>
  <si>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</si>
  <si>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</si>
  <si>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</si>
  <si>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</si>
  <si>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</si>
  <si>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</si>
  <si>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</si>
  <si>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</si>
  <si>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</si>
  <si>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</si>
  <si>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</si>
  <si>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</si>
  <si>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</si>
  <si>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</si>
  <si>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</si>
  <si>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</si>
  <si>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</si>
  <si>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</si>
  <si>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</si>
  <si>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</si>
  <si>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</si>
  <si>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</si>
  <si>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</si>
  <si>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</si>
  <si>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</si>
  <si>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</si>
  <si>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</si>
  <si>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</si>
  <si>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</si>
  <si>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</si>
  <si>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</si>
  <si>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</si>
  <si>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</si>
  <si>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</si>
  <si>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</si>
  <si>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</si>
  <si>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</si>
  <si>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</si>
  <si>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</si>
  <si>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</si>
  <si>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</si>
  <si>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</si>
  <si>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</si>
  <si>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</si>
  <si>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</si>
  <si>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</si>
  <si>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</si>
  <si>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</si>
  <si>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</si>
  <si>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</si>
  <si>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</si>
  <si>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</si>
  <si>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</si>
  <si>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</si>
  <si>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</si>
  <si>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</si>
  <si>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</si>
  <si>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</si>
  <si>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</si>
  <si>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</si>
  <si>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</si>
  <si>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</si>
  <si>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</si>
  <si>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</si>
  <si>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</si>
  <si>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</si>
  <si>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</si>
  <si>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</si>
  <si>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</si>
  <si>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</si>
  <si>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</si>
  <si>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</si>
  <si>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</si>
  <si>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</si>
  <si>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</si>
  <si>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</si>
  <si>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</si>
  <si>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</si>
  <si>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</si>
  <si>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</si>
  <si>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</si>
  <si>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</si>
  <si>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</si>
  <si>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</si>
  <si>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</si>
  <si>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</si>
  <si>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</si>
  <si>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</si>
  <si>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</si>
  <si>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</si>
  <si>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</si>
  <si>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</si>
  <si>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</si>
  <si>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</si>
  <si>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</si>
  <si>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</si>
  <si>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</si>
  <si>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</si>
  <si>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</si>
  <si>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</si>
  <si>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</si>
  <si>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</si>
  <si>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</si>
  <si>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</si>
  <si>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</si>
  <si>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</si>
  <si>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</si>
  <si>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</si>
  <si>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</si>
  <si>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</si>
  <si>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</si>
  <si>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</si>
  <si>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</si>
  <si>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</si>
  <si>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</si>
  <si>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</si>
  <si>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</si>
  <si>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</si>
  <si>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</si>
  <si>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</si>
  <si>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</si>
  <si>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</si>
  <si>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</si>
  <si>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</si>
  <si>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</si>
  <si>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</si>
  <si>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</si>
  <si>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</si>
  <si>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</si>
  <si>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</si>
  <si>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</si>
  <si>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</si>
  <si>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</si>
  <si>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</si>
  <si>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</si>
  <si>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</si>
  <si>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</si>
  <si>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</si>
  <si>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</si>
  <si>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</si>
  <si>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</si>
  <si>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</si>
  <si>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</si>
  <si>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</si>
  <si>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</si>
  <si>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</si>
  <si>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</si>
  <si>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</si>
  <si>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</si>
  <si>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</si>
  <si>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</si>
  <si>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</si>
  <si>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</si>
  <si>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</si>
  <si>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</si>
  <si>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</si>
  <si>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</si>
  <si>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</si>
  <si>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</si>
  <si>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</si>
  <si>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</si>
  <si>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</si>
  <si>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</si>
  <si>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</si>
  <si>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</si>
  <si>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</si>
  <si>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</si>
  <si>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</si>
  <si>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</si>
  <si>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</si>
  <si>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</si>
  <si>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</si>
  <si>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</si>
  <si>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</si>
  <si>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</si>
  <si>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</si>
  <si>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</si>
  <si>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</si>
  <si>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</si>
  <si>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</si>
  <si>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</si>
  <si>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</si>
  <si>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</si>
  <si>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</si>
  <si>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</si>
  <si>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</si>
  <si>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</si>
  <si>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</si>
  <si>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</si>
  <si>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</si>
  <si>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</si>
  <si>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</si>
  <si>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</si>
  <si>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</si>
  <si>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</si>
  <si>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</si>
  <si>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</si>
  <si>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</si>
  <si>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</si>
  <si>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</si>
  <si>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</si>
  <si>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</si>
  <si>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</si>
  <si>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</si>
  <si>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</si>
  <si>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</si>
  <si>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</si>
  <si>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</si>
  <si>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</si>
  <si>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</si>
  <si>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</si>
  <si>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</si>
  <si>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</si>
  <si>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</si>
  <si>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</si>
  <si>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</si>
  <si>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</si>
  <si>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</si>
  <si>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</si>
  <si>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</si>
  <si>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</si>
  <si>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</si>
  <si>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</si>
  <si>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</si>
  <si>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</si>
  <si>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</si>
  <si>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</si>
  <si>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</si>
  <si>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</si>
  <si>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</si>
  <si>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</si>
  <si>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</si>
  <si>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</si>
  <si>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</si>
  <si>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</si>
  <si>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</si>
  <si>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</si>
  <si>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</si>
  <si>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</si>
  <si>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</si>
  <si>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</si>
  <si>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</si>
  <si>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</si>
  <si>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</si>
  <si>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</si>
  <si>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</si>
  <si>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</si>
  <si>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</si>
  <si>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</si>
  <si>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</si>
  <si>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</si>
  <si>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</si>
  <si>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</si>
  <si>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</si>
  <si>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</si>
  <si>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</si>
  <si>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</si>
  <si>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</si>
  <si>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</si>
  <si>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</si>
  <si>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</si>
  <si>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</si>
  <si>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</si>
  <si>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</si>
  <si>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</si>
  <si>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</si>
  <si>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</si>
  <si>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</si>
  <si>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</si>
  <si>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</si>
  <si>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</si>
  <si>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</si>
  <si>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</si>
  <si>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</si>
  <si>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</si>
  <si>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</si>
  <si>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</si>
  <si>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</si>
  <si>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</si>
  <si>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</si>
  <si>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</si>
  <si>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</si>
  <si>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</si>
  <si>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</si>
  <si>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</si>
  <si>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</si>
  <si>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</si>
  <si>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</si>
  <si>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</si>
  <si>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</si>
  <si>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</si>
  <si>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</si>
  <si>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</si>
  <si>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</si>
  <si>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</si>
  <si>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</si>
  <si>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</si>
  <si>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</si>
  <si>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</si>
  <si>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</si>
  <si>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</si>
  <si>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</si>
  <si>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</si>
  <si>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</si>
  <si>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</si>
  <si>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</si>
  <si>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</si>
  <si>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</si>
  <si>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</si>
  <si>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</si>
  <si>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</si>
  <si>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</si>
  <si>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</si>
  <si>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</si>
  <si>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</si>
  <si>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</si>
  <si>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</si>
  <si>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</si>
  <si>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</si>
  <si>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</si>
  <si>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</si>
  <si>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</si>
  <si>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</si>
  <si>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</si>
  <si>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ATLAS CPAs &amp; Advisors, LLC</t>
  </si>
  <si>
    <t>Williamson</t>
  </si>
  <si>
    <t>Karla R. Bryk</t>
  </si>
  <si>
    <t>P.O. Box 1728</t>
  </si>
  <si>
    <t>411 Sout Court Street</t>
  </si>
  <si>
    <t xml:space="preserve">Marion </t>
  </si>
  <si>
    <t>IL</t>
  </si>
  <si>
    <t>Marion</t>
  </si>
  <si>
    <t>618-993-2647</t>
  </si>
  <si>
    <t>jami.hodge@wces.com</t>
  </si>
  <si>
    <t>Jami Hodge</t>
  </si>
  <si>
    <t>618-993-2138</t>
  </si>
  <si>
    <t>618-997-3950</t>
  </si>
  <si>
    <t>ATLAS CPAs &amp; Advisors LLC</t>
  </si>
  <si>
    <t>karla.bryk@atlascpas.com</t>
  </si>
  <si>
    <t>065-050151</t>
  </si>
  <si>
    <t>CTE Perkins receivables 6/30/18</t>
  </si>
  <si>
    <t>Unmodified</t>
  </si>
  <si>
    <t>2018-</t>
  </si>
  <si>
    <t>Lack of segregation of duties due to limited staff.</t>
  </si>
  <si>
    <t>Internal controls are limited due to small staff size.</t>
  </si>
  <si>
    <t>There is currently only one person performing many bookkeeping functions.</t>
  </si>
  <si>
    <t>Lack of segregation of duties.</t>
  </si>
  <si>
    <t>The causes are small staff size and limited resources.</t>
  </si>
  <si>
    <t>Consideration should be given to implementing more internal controls.</t>
  </si>
  <si>
    <t>This is not practical due to limited resources.</t>
  </si>
  <si>
    <t>2018-001</t>
  </si>
  <si>
    <t>No change from prior year.</t>
  </si>
  <si>
    <t>618-551-3088</t>
  </si>
  <si>
    <t>Williamson Co CTE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</si>
</sst>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1" fillId="0" borderId="0"/>
    <xf numFmtId="0" fontId="1" fillId="0" borderId="0"/>
    <xf numFmtId="0" fontId="1" fillId="0" borderId="0"/>
    <xf numFmtId="0" fontId="1" fillId="0" borderId="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14" fontId="56" fillId="0" borderId="0" xfId="3" applyNumberFormat="1" applyFont="1" applyBorder="1" applyProtection="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3" xfId="20"/>
    <cellStyle name="Normal 3 3" xfId="19"/>
    <cellStyle name="Normal 4" xfId="16"/>
    <cellStyle name="Normal 4 2" xfId="21"/>
    <cellStyle name="Normal 5" xfId="17"/>
    <cellStyle name="Normal 5 2" xfId="22"/>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1610591</xdr:colOff>
          <xdr:row>1</xdr:row>
          <xdr:rowOff>155864</xdr:rowOff>
        </xdr:from>
        <xdr:to>
          <xdr:col>1</xdr:col>
          <xdr:colOff>2521527</xdr:colOff>
          <xdr:row>6</xdr:row>
          <xdr:rowOff>106508</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233796</xdr:colOff>
          <xdr:row>2</xdr:row>
          <xdr:rowOff>34637</xdr:rowOff>
        </xdr:from>
        <xdr:to>
          <xdr:col>1</xdr:col>
          <xdr:colOff>1144732</xdr:colOff>
          <xdr:row>6</xdr:row>
          <xdr:rowOff>149803</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8" t="s">
        <v>405</v>
      </c>
      <c r="J1" s="2019"/>
      <c r="K1" s="2019"/>
      <c r="L1" s="2019"/>
      <c r="M1" s="2019"/>
      <c r="N1" s="2019"/>
      <c r="O1" s="2019"/>
      <c r="P1" s="2019"/>
      <c r="Q1" s="2019"/>
      <c r="R1" s="2019"/>
      <c r="S1" s="2019"/>
    </row>
    <row r="2" spans="1:28" ht="12" customHeight="1" x14ac:dyDescent="0.2">
      <c r="A2" s="47" t="s">
        <v>1991</v>
      </c>
      <c r="D2" s="48"/>
      <c r="I2" s="2020" t="s">
        <v>979</v>
      </c>
      <c r="J2" s="2019"/>
      <c r="K2" s="2019"/>
      <c r="L2" s="2019"/>
      <c r="M2" s="2019"/>
      <c r="N2" s="2019"/>
      <c r="O2" s="2019"/>
      <c r="P2" s="2019"/>
      <c r="Q2" s="2019"/>
      <c r="R2" s="2019"/>
      <c r="S2" s="2019"/>
    </row>
    <row r="3" spans="1:28" ht="12" customHeight="1" x14ac:dyDescent="0.2">
      <c r="A3" s="155" t="s">
        <v>1943</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c r="C5" s="26" t="s">
        <v>910</v>
      </c>
      <c r="D5" s="84"/>
      <c r="E5" s="84"/>
      <c r="H5" s="38"/>
      <c r="I5" s="2027" t="s">
        <v>680</v>
      </c>
      <c r="J5" s="1972"/>
      <c r="K5" s="1972"/>
      <c r="L5" s="1972"/>
      <c r="M5" s="1972"/>
      <c r="N5" s="1972"/>
      <c r="O5" s="1972"/>
      <c r="P5" s="1972"/>
      <c r="Q5" s="1972"/>
      <c r="R5" s="1972"/>
      <c r="S5" s="1972"/>
    </row>
    <row r="6" spans="1:28" ht="14.1" customHeight="1" x14ac:dyDescent="0.2">
      <c r="B6" s="104" t="s">
        <v>2065</v>
      </c>
      <c r="C6" s="26" t="s">
        <v>911</v>
      </c>
      <c r="D6" s="84"/>
      <c r="E6" s="84"/>
      <c r="I6" s="2026" t="s">
        <v>883</v>
      </c>
      <c r="J6" s="1972"/>
      <c r="K6" s="1972"/>
      <c r="L6" s="1972"/>
      <c r="M6" s="1972"/>
      <c r="N6" s="1972"/>
      <c r="O6" s="1972"/>
      <c r="P6" s="1972"/>
      <c r="Q6" s="1972"/>
      <c r="R6" s="1972"/>
      <c r="S6" s="1972"/>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8" t="s">
        <v>533</v>
      </c>
      <c r="U9" s="1969"/>
      <c r="V9" s="1969"/>
      <c r="W9" s="1969"/>
      <c r="X9" s="1969"/>
      <c r="Y9" s="1969"/>
      <c r="Z9" s="1969"/>
      <c r="AA9" s="1970"/>
    </row>
    <row r="10" spans="1:28" ht="13.5" customHeight="1" x14ac:dyDescent="0.2">
      <c r="A10" s="1977" t="s">
        <v>675</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x14ac:dyDescent="0.2">
      <c r="A11" s="1980" t="s">
        <v>955</v>
      </c>
      <c r="B11" s="1981"/>
      <c r="C11" s="1981"/>
      <c r="D11" s="1981"/>
      <c r="E11" s="1981"/>
      <c r="F11" s="1981"/>
      <c r="G11" s="1981"/>
      <c r="H11" s="1982"/>
      <c r="I11" s="27"/>
      <c r="J11" s="74"/>
      <c r="K11" s="27"/>
      <c r="O11" s="148"/>
      <c r="P11" s="100" t="s">
        <v>201</v>
      </c>
      <c r="Q11" s="30"/>
      <c r="R11" s="28"/>
      <c r="S11" s="27"/>
      <c r="T11" s="1974"/>
      <c r="U11" s="1975"/>
      <c r="V11" s="1975"/>
      <c r="W11" s="1975"/>
      <c r="X11" s="1975"/>
      <c r="Y11" s="1975"/>
      <c r="Z11" s="1975"/>
      <c r="AA11" s="1976"/>
    </row>
    <row r="12" spans="1:28" ht="13.5" customHeight="1" x14ac:dyDescent="0.2">
      <c r="A12" s="85" t="s">
        <v>925</v>
      </c>
      <c r="B12" s="76"/>
      <c r="C12" s="76"/>
      <c r="D12" s="76"/>
      <c r="E12" s="76"/>
      <c r="F12" s="76"/>
      <c r="G12" s="76"/>
      <c r="H12" s="53"/>
      <c r="I12" s="29"/>
      <c r="J12" s="30"/>
      <c r="K12" s="28"/>
      <c r="O12" s="149" t="s">
        <v>2065</v>
      </c>
      <c r="P12" s="100" t="s">
        <v>202</v>
      </c>
      <c r="Q12" s="74"/>
      <c r="R12" s="30"/>
      <c r="S12" s="30"/>
      <c r="T12" s="85" t="s">
        <v>265</v>
      </c>
      <c r="U12" s="51"/>
      <c r="V12" s="51"/>
      <c r="W12" s="51"/>
      <c r="X12" s="51"/>
      <c r="Y12" s="45"/>
      <c r="Z12" s="45"/>
      <c r="AA12" s="46"/>
    </row>
    <row r="13" spans="1:28" ht="13.5" customHeight="1" x14ac:dyDescent="0.2">
      <c r="A13" s="1988">
        <v>21100801046</v>
      </c>
      <c r="B13" s="1989"/>
      <c r="C13" s="1989"/>
      <c r="D13" s="1989"/>
      <c r="E13" s="1989"/>
      <c r="F13" s="1989"/>
      <c r="G13" s="1989"/>
      <c r="H13" s="1990"/>
      <c r="I13" s="31"/>
      <c r="J13" s="30"/>
      <c r="K13" s="28"/>
      <c r="L13" s="30"/>
      <c r="M13" s="30"/>
      <c r="N13" s="30"/>
      <c r="O13" s="30"/>
      <c r="P13" s="30"/>
      <c r="Q13" s="30"/>
      <c r="R13" s="30"/>
      <c r="S13" s="30"/>
      <c r="T13" s="1993" t="s">
        <v>2066</v>
      </c>
      <c r="U13" s="1994"/>
      <c r="V13" s="1994"/>
      <c r="W13" s="1994"/>
      <c r="X13" s="1994"/>
      <c r="Y13" s="1995"/>
      <c r="Z13" s="1995"/>
      <c r="AA13" s="199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6" t="s">
        <v>2067</v>
      </c>
      <c r="B15" s="1991"/>
      <c r="C15" s="1991"/>
      <c r="D15" s="1991"/>
      <c r="E15" s="1991"/>
      <c r="F15" s="1991"/>
      <c r="G15" s="1991"/>
      <c r="H15" s="1992"/>
      <c r="T15" s="1954" t="s">
        <v>2068</v>
      </c>
      <c r="U15" s="1955"/>
      <c r="V15" s="1955"/>
      <c r="W15" s="1955"/>
      <c r="X15" s="1955"/>
      <c r="Y15" s="1997"/>
      <c r="Z15" s="1997"/>
      <c r="AA15" s="199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6" t="s">
        <v>2095</v>
      </c>
      <c r="B17" s="2016"/>
      <c r="C17" s="2016"/>
      <c r="D17" s="2016"/>
      <c r="E17" s="2016"/>
      <c r="F17" s="2016"/>
      <c r="G17" s="2016"/>
      <c r="H17" s="2017"/>
      <c r="T17" s="2003" t="s">
        <v>2069</v>
      </c>
      <c r="U17" s="2004"/>
      <c r="V17" s="2004"/>
      <c r="W17" s="2004"/>
      <c r="X17" s="2004"/>
      <c r="Y17" s="2004"/>
      <c r="Z17" s="2004"/>
      <c r="AA17" s="2005"/>
    </row>
    <row r="18" spans="1:27" ht="13.5" customHeight="1" x14ac:dyDescent="0.2">
      <c r="A18" s="85" t="s">
        <v>530</v>
      </c>
      <c r="B18" s="76"/>
      <c r="C18" s="72"/>
      <c r="D18" s="76"/>
      <c r="E18" s="76"/>
      <c r="F18" s="76"/>
      <c r="G18" s="76"/>
      <c r="H18" s="56"/>
      <c r="I18" s="2013" t="s">
        <v>676</v>
      </c>
      <c r="J18" s="2014"/>
      <c r="K18" s="2014"/>
      <c r="L18" s="2014"/>
      <c r="M18" s="2014"/>
      <c r="N18" s="2014"/>
      <c r="O18" s="2014"/>
      <c r="P18" s="2014"/>
      <c r="Q18" s="2014"/>
      <c r="R18" s="2014"/>
      <c r="S18" s="2015"/>
      <c r="T18" s="85" t="s">
        <v>711</v>
      </c>
      <c r="U18" s="51"/>
      <c r="V18" s="72"/>
      <c r="W18" s="50"/>
      <c r="X18" s="85" t="s">
        <v>266</v>
      </c>
      <c r="Y18" s="81"/>
      <c r="Z18" s="159" t="s">
        <v>677</v>
      </c>
      <c r="AA18" s="46"/>
    </row>
    <row r="19" spans="1:27" ht="13.5" customHeight="1" x14ac:dyDescent="0.2">
      <c r="A19" s="1986" t="s">
        <v>2070</v>
      </c>
      <c r="B19" s="1987"/>
      <c r="C19" s="1987"/>
      <c r="D19" s="1987"/>
      <c r="E19" s="1987"/>
      <c r="F19" s="1987"/>
      <c r="G19" s="1987"/>
      <c r="H19" s="1985"/>
      <c r="I19" s="30"/>
      <c r="J19" s="99"/>
      <c r="K19" s="40"/>
      <c r="L19" s="38"/>
      <c r="M19" s="112" t="s">
        <v>315</v>
      </c>
      <c r="P19" s="27"/>
      <c r="Q19" s="27"/>
      <c r="R19" s="27"/>
      <c r="S19" s="31"/>
      <c r="T19" s="1986" t="s">
        <v>2071</v>
      </c>
      <c r="U19" s="1984"/>
      <c r="V19" s="1984"/>
      <c r="W19" s="1985"/>
      <c r="X19" s="2001" t="s">
        <v>2072</v>
      </c>
      <c r="Y19" s="2002"/>
      <c r="Z19" s="1999">
        <v>62959</v>
      </c>
      <c r="AA19" s="200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3" t="s">
        <v>2073</v>
      </c>
      <c r="B21" s="1984"/>
      <c r="C21" s="1984"/>
      <c r="D21" s="1984"/>
      <c r="E21" s="1984"/>
      <c r="F21" s="1984"/>
      <c r="G21" s="1984"/>
      <c r="H21" s="1985"/>
      <c r="I21" s="2009" t="s">
        <v>678</v>
      </c>
      <c r="J21" s="1972"/>
      <c r="K21" s="1972"/>
      <c r="L21" s="1972"/>
      <c r="M21" s="1972"/>
      <c r="N21" s="1972"/>
      <c r="O21" s="1972"/>
      <c r="P21" s="1972"/>
      <c r="Q21" s="1972"/>
      <c r="R21" s="1972"/>
      <c r="S21" s="1973"/>
      <c r="T21" s="1951" t="s">
        <v>2074</v>
      </c>
      <c r="U21" s="1952"/>
      <c r="V21" s="1952"/>
      <c r="W21" s="1952"/>
      <c r="X21" s="1965" t="s">
        <v>2094</v>
      </c>
      <c r="Y21" s="1966"/>
      <c r="Z21" s="1966"/>
      <c r="AA21" s="1967"/>
    </row>
    <row r="22" spans="1:27" ht="13.5" customHeight="1" x14ac:dyDescent="0.2">
      <c r="A22" s="87" t="s">
        <v>531</v>
      </c>
      <c r="B22" s="59"/>
      <c r="C22" s="59"/>
      <c r="D22" s="59"/>
      <c r="E22" s="59"/>
      <c r="F22" s="59"/>
      <c r="G22" s="59"/>
      <c r="H22" s="60"/>
      <c r="I22" s="2010" t="s">
        <v>1429</v>
      </c>
      <c r="J22" s="2011"/>
      <c r="K22" s="2011"/>
      <c r="L22" s="2011"/>
      <c r="M22" s="2011"/>
      <c r="N22" s="2011"/>
      <c r="O22" s="2011"/>
      <c r="P22" s="2011"/>
      <c r="Q22" s="2011"/>
      <c r="R22" s="2011"/>
      <c r="S22" s="2012"/>
      <c r="T22" s="85" t="s">
        <v>1516</v>
      </c>
      <c r="U22" s="51"/>
      <c r="V22" s="72"/>
      <c r="W22" s="51"/>
      <c r="X22" s="160" t="s">
        <v>1318</v>
      </c>
      <c r="Z22" s="45"/>
      <c r="AA22" s="46"/>
    </row>
    <row r="23" spans="1:27" ht="13.5" customHeight="1" x14ac:dyDescent="0.2">
      <c r="A23" s="2006" t="s">
        <v>2075</v>
      </c>
      <c r="B23" s="2007"/>
      <c r="C23" s="2007"/>
      <c r="D23" s="2007"/>
      <c r="E23" s="2007"/>
      <c r="F23" s="2007"/>
      <c r="G23" s="2007"/>
      <c r="H23" s="2008"/>
      <c r="T23" s="1946" t="s">
        <v>2081</v>
      </c>
      <c r="U23" s="1947"/>
      <c r="V23" s="1947"/>
      <c r="W23" s="1947"/>
      <c r="X23" s="1962">
        <v>44469</v>
      </c>
      <c r="Y23" s="1963"/>
      <c r="Z23" s="1963"/>
      <c r="AA23" s="1964"/>
    </row>
    <row r="24" spans="1:27" ht="14.1" customHeight="1" x14ac:dyDescent="0.2">
      <c r="A24" s="88" t="s">
        <v>677</v>
      </c>
      <c r="B24" s="49"/>
      <c r="C24" s="49"/>
      <c r="D24" s="49"/>
      <c r="E24" s="49"/>
      <c r="F24" s="49"/>
      <c r="G24" s="49"/>
      <c r="H24" s="61"/>
      <c r="J24" s="2048" t="str">
        <f>IF(B5="x",IF(AUDITCHECK!D29="AFR form Incomplete.","",IF(AUDITCHECK!D29="Deficit reduction plan is required.","School District must complete a deficit reduction plan in the 2019-2020 Budget",)),"")</f>
        <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3">
        <v>62959</v>
      </c>
      <c r="B25" s="1984"/>
      <c r="C25" s="1984"/>
      <c r="D25" s="1984"/>
      <c r="E25" s="1984"/>
      <c r="F25" s="1984"/>
      <c r="G25" s="1984"/>
      <c r="H25" s="1985"/>
      <c r="I25" s="113"/>
      <c r="J25" s="2050"/>
      <c r="K25" s="2050"/>
      <c r="L25" s="2050"/>
      <c r="M25" s="2050"/>
      <c r="N25" s="2050"/>
      <c r="O25" s="2050"/>
      <c r="P25" s="2050"/>
      <c r="Q25" s="2050"/>
      <c r="R25" s="2050"/>
      <c r="S25" s="2051"/>
      <c r="T25" s="1943" t="s">
        <v>2080</v>
      </c>
      <c r="U25" s="1944"/>
      <c r="V25" s="1944"/>
      <c r="W25" s="1944"/>
      <c r="X25" s="1944"/>
      <c r="Y25" s="1944"/>
      <c r="Z25" s="1944"/>
      <c r="AA25" s="19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4"/>
      <c r="K27" s="2014"/>
      <c r="L27" s="2014"/>
      <c r="M27" s="2014"/>
      <c r="N27" s="2014"/>
      <c r="O27" s="2014"/>
      <c r="P27" s="2014"/>
      <c r="Q27" s="2014"/>
      <c r="R27" s="2014"/>
      <c r="S27" s="201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48"/>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7"/>
      <c r="Q35" s="1984"/>
      <c r="R35" s="198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6" t="s">
        <v>2076</v>
      </c>
      <c r="B38" s="2016"/>
      <c r="C38" s="2016"/>
      <c r="D38" s="2016"/>
      <c r="E38" s="2016"/>
      <c r="F38" s="1984"/>
      <c r="G38" s="1984"/>
      <c r="H38" s="1985"/>
      <c r="I38" s="2035"/>
      <c r="J38" s="1955"/>
      <c r="K38" s="1955"/>
      <c r="L38" s="1955"/>
      <c r="M38" s="1955"/>
      <c r="N38" s="1955"/>
      <c r="O38" s="1955"/>
      <c r="P38" s="1956"/>
      <c r="Q38" s="1956"/>
      <c r="R38" s="1956"/>
      <c r="S38" s="1957"/>
      <c r="T38" s="1954"/>
      <c r="U38" s="1955"/>
      <c r="V38" s="1955"/>
      <c r="W38" s="1955"/>
      <c r="X38" s="1956"/>
      <c r="Y38" s="1956"/>
      <c r="Z38" s="1956"/>
      <c r="AA38" s="1957"/>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t="s">
        <v>2075</v>
      </c>
      <c r="B40" s="2043"/>
      <c r="C40" s="2044"/>
      <c r="D40" s="2044"/>
      <c r="E40" s="2044"/>
      <c r="F40" s="2045"/>
      <c r="G40" s="2045"/>
      <c r="H40" s="2046"/>
      <c r="I40" s="1958"/>
      <c r="J40" s="1960"/>
      <c r="K40" s="1960"/>
      <c r="L40" s="1960"/>
      <c r="M40" s="1960"/>
      <c r="N40" s="1960"/>
      <c r="O40" s="1960"/>
      <c r="P40" s="1960"/>
      <c r="Q40" s="1960"/>
      <c r="R40" s="1960"/>
      <c r="S40" s="1961"/>
      <c r="T40" s="1958"/>
      <c r="U40" s="1959"/>
      <c r="V40" s="1960"/>
      <c r="W40" s="1960"/>
      <c r="X40" s="1960"/>
      <c r="Y40" s="1960"/>
      <c r="Z40" s="1960"/>
      <c r="AA40" s="196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t="s">
        <v>2077</v>
      </c>
      <c r="B42" s="2033"/>
      <c r="C42" s="2034"/>
      <c r="D42" s="2047" t="s">
        <v>2078</v>
      </c>
      <c r="E42" s="2033"/>
      <c r="F42" s="2033"/>
      <c r="G42" s="2033"/>
      <c r="H42" s="2034"/>
      <c r="I42" s="1953"/>
      <c r="J42" s="1949"/>
      <c r="K42" s="1949"/>
      <c r="L42" s="1949"/>
      <c r="M42" s="1949"/>
      <c r="N42" s="1949"/>
      <c r="O42" s="1950"/>
      <c r="P42" s="1948"/>
      <c r="Q42" s="1949"/>
      <c r="R42" s="1949"/>
      <c r="S42" s="1950"/>
      <c r="T42" s="1953"/>
      <c r="U42" s="1949"/>
      <c r="V42" s="1949"/>
      <c r="W42" s="1950"/>
      <c r="X42" s="1948"/>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D135" sqref="D13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2079</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t="s">
        <v>2079</v>
      </c>
      <c r="E118" s="322"/>
      <c r="F118" s="1942">
        <v>43808</v>
      </c>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activeCell="A9" sqref="A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454868</v>
      </c>
      <c r="E16" s="356"/>
      <c r="F16" s="1733">
        <f>SUM('Acct Summary 7-8'!C17,'Acct Summary 7-8'!D17,'Acct Summary 7-8'!F17)</f>
        <v>530900</v>
      </c>
      <c r="G16" s="356"/>
      <c r="H16" s="1733">
        <f>SUM(D16-F16)</f>
        <v>-76032</v>
      </c>
      <c r="I16" s="222"/>
      <c r="J16" s="1733">
        <f>SUM('Acct Summary 7-8'!C81,'Acct Summary 7-8'!D81,'Acct Summary 7-8'!F81,'Acct Summary 7-8'!I81)</f>
        <v>53640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Williamson Co CTE System</v>
      </c>
      <c r="E7" s="391"/>
      <c r="G7" s="252"/>
      <c r="H7" s="387"/>
      <c r="I7" s="387"/>
      <c r="J7" s="387"/>
      <c r="K7" s="387"/>
      <c r="L7" s="329"/>
      <c r="M7" s="329"/>
      <c r="N7" s="329"/>
      <c r="O7" s="329"/>
      <c r="P7" s="329"/>
    </row>
    <row r="8" spans="1:18" ht="12.75" x14ac:dyDescent="0.2">
      <c r="A8" s="329"/>
      <c r="B8" s="329"/>
      <c r="C8" s="389" t="s">
        <v>1125</v>
      </c>
      <c r="D8" s="392">
        <f>COVER!A13</f>
        <v>21100801046</v>
      </c>
      <c r="E8" s="393"/>
      <c r="G8" s="329"/>
      <c r="H8" s="329"/>
      <c r="I8" s="329"/>
      <c r="J8" s="329"/>
      <c r="K8" s="329"/>
      <c r="L8" s="329"/>
      <c r="M8" s="329"/>
      <c r="N8" s="329"/>
      <c r="O8" s="329"/>
      <c r="P8" s="329"/>
    </row>
    <row r="9" spans="1:18" ht="12.75" x14ac:dyDescent="0.2">
      <c r="A9" s="329"/>
      <c r="B9" s="329"/>
      <c r="C9" s="389" t="s">
        <v>713</v>
      </c>
      <c r="D9" s="394" t="str">
        <f>COVER!A15</f>
        <v>Williamson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53640</v>
      </c>
      <c r="I12" s="404"/>
      <c r="J12" s="404"/>
      <c r="K12" s="405">
        <f>TRUNC((H12/H13*100000),5)/100000</f>
        <v>0.1179243209</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454868</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530900</v>
      </c>
      <c r="I17" s="404"/>
      <c r="J17" s="416"/>
      <c r="K17" s="405">
        <f>TRUNC((H17/H18*100000),5)/100000</f>
        <v>1.1671517890000001</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454868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0.10723369999999999</v>
      </c>
      <c r="K20" s="405" t="str">
        <f>IF(K17&lt;=1,"0",IF(AND(O16="2", J20 &gt; 2),TRUNC(((K12-0.1)/(K17-1)*100),5)/100,IF(AND(O16 = "1", J20 &gt; 2),TRUNC(((K12-0.1)/(K17-1)*100),5)/100,IF(AND(O16="1", J20 &gt;1),TRUNC(((K12-0.1)/(K17-1)*100),5)/100,""))))</f>
        <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74621</v>
      </c>
      <c r="I24" s="422"/>
      <c r="J24" s="422"/>
      <c r="K24" s="423">
        <f>TRUNC(((H24/H25*100000)/100000),2)</f>
        <v>50.6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1474.7222200000001</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2"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74621</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v>29155</v>
      </c>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103776</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326091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326091</v>
      </c>
      <c r="N23" s="1688">
        <f>SUM(N21:N22)</f>
        <v>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v>48503</v>
      </c>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1136</v>
      </c>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497</v>
      </c>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50136</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53640</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326091</v>
      </c>
      <c r="N40" s="497"/>
    </row>
    <row r="41" spans="1:14" ht="13.5" customHeight="1" thickBot="1" x14ac:dyDescent="0.25">
      <c r="A41" s="1736" t="s">
        <v>655</v>
      </c>
      <c r="B41" s="1706"/>
      <c r="C41" s="1688">
        <f>(SUM(C34,C37,C38,C39))</f>
        <v>103776</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326091</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0</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329155</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125713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454868</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0</v>
      </c>
      <c r="D9" s="516"/>
      <c r="E9" s="481"/>
      <c r="F9" s="481"/>
      <c r="G9" s="517"/>
      <c r="H9" s="481"/>
      <c r="I9" s="509" t="s">
        <v>1169</v>
      </c>
      <c r="J9" s="478"/>
      <c r="K9" s="481"/>
      <c r="L9" s="347"/>
    </row>
    <row r="10" spans="1:13" s="519" customFormat="1" ht="13.5" thickBot="1" x14ac:dyDescent="0.25">
      <c r="A10" s="1736" t="s">
        <v>1173</v>
      </c>
      <c r="B10" s="1709"/>
      <c r="C10" s="1688">
        <f>SUM(C8:C9)</f>
        <v>454868</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204383</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89383</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237134</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530900</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530900</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8" t="s">
        <v>1655</v>
      </c>
      <c r="B20" s="2129"/>
      <c r="C20" s="1746">
        <f>C8-C17</f>
        <v>-76032</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-76032</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129672</v>
      </c>
      <c r="D79" s="535"/>
      <c r="E79" s="535"/>
      <c r="F79" s="535"/>
      <c r="G79" s="535"/>
      <c r="H79" s="535"/>
      <c r="I79" s="535"/>
      <c r="J79" s="535"/>
      <c r="K79" s="535"/>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53640</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-76032</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-1.4174496644295302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13" activePane="bottomLeft" state="frozen"/>
      <selection pane="bottomLeft" activeCell="C235" sqref="C23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0</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0</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0</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1"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329155</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329155</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329155</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329155</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125713</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125713</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1935</v>
      </c>
      <c r="B261" s="470">
        <v>4981</v>
      </c>
      <c r="C261" s="575"/>
      <c r="D261" s="576"/>
      <c r="E261" s="468"/>
      <c r="F261" s="576"/>
      <c r="G261" s="576"/>
      <c r="H261" s="468"/>
      <c r="I261" s="468"/>
      <c r="J261" s="468"/>
      <c r="K261" s="468"/>
    </row>
    <row r="262" spans="1:11" ht="12.75" customHeight="1" thickTop="1" thickBot="1" x14ac:dyDescent="0.25">
      <c r="A262" s="1932"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125713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125713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454868</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84" activePane="bottomLeft" state="frozen"/>
      <selection pane="bottomLeft" activeCell="E109" sqref="E10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v>21747</v>
      </c>
      <c r="F13" s="466">
        <v>105508</v>
      </c>
      <c r="G13" s="466">
        <v>28187</v>
      </c>
      <c r="H13" s="466"/>
      <c r="I13" s="467">
        <v>48941</v>
      </c>
      <c r="J13" s="467"/>
      <c r="K13" s="1671">
        <f t="shared" si="0"/>
        <v>204383</v>
      </c>
      <c r="L13" s="466">
        <v>197423</v>
      </c>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0</v>
      </c>
      <c r="D33" s="1670">
        <f t="shared" ref="D33:L33" si="1">SUM(D5:D32)</f>
        <v>0</v>
      </c>
      <c r="E33" s="1670">
        <f t="shared" si="1"/>
        <v>21747</v>
      </c>
      <c r="F33" s="1670">
        <f t="shared" si="1"/>
        <v>105508</v>
      </c>
      <c r="G33" s="1670">
        <f t="shared" si="1"/>
        <v>28187</v>
      </c>
      <c r="H33" s="1670">
        <f t="shared" si="1"/>
        <v>0</v>
      </c>
      <c r="I33" s="1670">
        <f t="shared" si="1"/>
        <v>48941</v>
      </c>
      <c r="J33" s="1670">
        <f t="shared" si="1"/>
        <v>0</v>
      </c>
      <c r="K33" s="1670">
        <f t="shared" si="1"/>
        <v>204383</v>
      </c>
      <c r="L33" s="1670">
        <f t="shared" si="1"/>
        <v>197423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v>2062</v>
      </c>
      <c r="F37" s="466"/>
      <c r="G37" s="466"/>
      <c r="H37" s="466"/>
      <c r="I37" s="467"/>
      <c r="J37" s="467"/>
      <c r="K37" s="1671">
        <f t="shared" si="2"/>
        <v>2062</v>
      </c>
      <c r="L37" s="466">
        <v>2494</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0</v>
      </c>
      <c r="E42" s="1670">
        <f t="shared" si="3"/>
        <v>2062</v>
      </c>
      <c r="F42" s="1670">
        <f t="shared" si="3"/>
        <v>0</v>
      </c>
      <c r="G42" s="1670">
        <f t="shared" si="3"/>
        <v>0</v>
      </c>
      <c r="H42" s="1670">
        <f t="shared" si="3"/>
        <v>0</v>
      </c>
      <c r="I42" s="1670">
        <f t="shared" si="3"/>
        <v>0</v>
      </c>
      <c r="J42" s="1670">
        <f t="shared" si="3"/>
        <v>0</v>
      </c>
      <c r="K42" s="1670">
        <f t="shared" si="3"/>
        <v>2062</v>
      </c>
      <c r="L42" s="1670">
        <f t="shared" si="3"/>
        <v>2494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14643</v>
      </c>
      <c r="F44" s="481"/>
      <c r="G44" s="481"/>
      <c r="H44" s="481"/>
      <c r="I44" s="467"/>
      <c r="J44" s="467"/>
      <c r="K44" s="1672">
        <f>SUM(C44:J44)</f>
        <v>14643</v>
      </c>
      <c r="L44" s="481">
        <v>17959</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v>995</v>
      </c>
      <c r="F46" s="466"/>
      <c r="G46" s="466"/>
      <c r="H46" s="466"/>
      <c r="I46" s="467"/>
      <c r="J46" s="467"/>
      <c r="K46" s="1672">
        <f>SUM(C46:J46)</f>
        <v>995</v>
      </c>
      <c r="L46" s="466"/>
    </row>
    <row r="47" spans="1:14" ht="12.75" customHeight="1" thickBot="1" x14ac:dyDescent="0.25">
      <c r="A47" s="1668" t="s">
        <v>561</v>
      </c>
      <c r="B47" s="1669" t="s">
        <v>32</v>
      </c>
      <c r="C47" s="1670">
        <f>SUM(C44:C46)</f>
        <v>0</v>
      </c>
      <c r="D47" s="1670">
        <f t="shared" ref="D47:K47" si="4">SUM(D44:D46)</f>
        <v>0</v>
      </c>
      <c r="E47" s="1670">
        <f t="shared" si="4"/>
        <v>15638</v>
      </c>
      <c r="F47" s="1670">
        <f t="shared" si="4"/>
        <v>0</v>
      </c>
      <c r="G47" s="1670">
        <f t="shared" si="4"/>
        <v>0</v>
      </c>
      <c r="H47" s="1670">
        <f t="shared" si="4"/>
        <v>0</v>
      </c>
      <c r="I47" s="1670">
        <f t="shared" si="4"/>
        <v>0</v>
      </c>
      <c r="J47" s="1670">
        <f t="shared" si="4"/>
        <v>0</v>
      </c>
      <c r="K47" s="1670">
        <f t="shared" si="4"/>
        <v>15638</v>
      </c>
      <c r="L47" s="1670">
        <f>SUM(L44:L46)</f>
        <v>17959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v>58762</v>
      </c>
      <c r="D50" s="466">
        <v>7300</v>
      </c>
      <c r="E50" s="466">
        <v>4766</v>
      </c>
      <c r="F50" s="466">
        <v>874</v>
      </c>
      <c r="G50" s="466"/>
      <c r="H50" s="466"/>
      <c r="I50" s="467"/>
      <c r="J50" s="467"/>
      <c r="K50" s="1672">
        <f>SUM(C50:J50)</f>
        <v>71702</v>
      </c>
      <c r="L50" s="466">
        <v>79610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58762</v>
      </c>
      <c r="D53" s="1670">
        <f t="shared" ref="D53:L53" si="5">SUM(D49:D52)</f>
        <v>7300</v>
      </c>
      <c r="E53" s="1670">
        <f t="shared" si="5"/>
        <v>4766</v>
      </c>
      <c r="F53" s="1670">
        <f t="shared" si="5"/>
        <v>874</v>
      </c>
      <c r="G53" s="1670">
        <f t="shared" si="5"/>
        <v>0</v>
      </c>
      <c r="H53" s="1670">
        <f t="shared" si="5"/>
        <v>0</v>
      </c>
      <c r="I53" s="1670">
        <f t="shared" si="5"/>
        <v>0</v>
      </c>
      <c r="J53" s="1670">
        <f t="shared" si="5"/>
        <v>0</v>
      </c>
      <c r="K53" s="1670">
        <f t="shared" si="5"/>
        <v>71702</v>
      </c>
      <c r="L53" s="1670">
        <f t="shared" si="5"/>
        <v>79610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-19</v>
      </c>
      <c r="D60" s="466"/>
      <c r="E60" s="466"/>
      <c r="F60" s="466"/>
      <c r="G60" s="466"/>
      <c r="H60" s="466"/>
      <c r="I60" s="467"/>
      <c r="J60" s="467"/>
      <c r="K60" s="1672">
        <f t="shared" si="7"/>
        <v>-19</v>
      </c>
      <c r="L60" s="466"/>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-19</v>
      </c>
      <c r="D65" s="1670">
        <f t="shared" ref="D65:L65" si="8">SUM(D59:D64)</f>
        <v>0</v>
      </c>
      <c r="E65" s="1670">
        <f t="shared" si="8"/>
        <v>0</v>
      </c>
      <c r="F65" s="1670">
        <f t="shared" si="8"/>
        <v>0</v>
      </c>
      <c r="G65" s="1670">
        <f t="shared" si="8"/>
        <v>0</v>
      </c>
      <c r="H65" s="1670">
        <f t="shared" si="8"/>
        <v>0</v>
      </c>
      <c r="I65" s="1670">
        <f t="shared" si="8"/>
        <v>0</v>
      </c>
      <c r="J65" s="1670">
        <f t="shared" si="8"/>
        <v>0</v>
      </c>
      <c r="K65" s="1670">
        <f t="shared" si="8"/>
        <v>-19</v>
      </c>
      <c r="L65" s="1670">
        <f t="shared" si="8"/>
        <v>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58743</v>
      </c>
      <c r="D74" s="1677">
        <f t="shared" ref="D74:K74" si="10">SUM(D42,D47,D53,D57,D65,D72,D73)</f>
        <v>7300</v>
      </c>
      <c r="E74" s="1677">
        <f t="shared" si="10"/>
        <v>22466</v>
      </c>
      <c r="F74" s="1677">
        <f t="shared" si="10"/>
        <v>874</v>
      </c>
      <c r="G74" s="1677">
        <f t="shared" si="10"/>
        <v>0</v>
      </c>
      <c r="H74" s="1677">
        <f t="shared" si="10"/>
        <v>0</v>
      </c>
      <c r="I74" s="1677">
        <f t="shared" si="10"/>
        <v>0</v>
      </c>
      <c r="J74" s="1677">
        <f t="shared" si="10"/>
        <v>0</v>
      </c>
      <c r="K74" s="1677">
        <f t="shared" si="10"/>
        <v>89383</v>
      </c>
      <c r="L74" s="1677">
        <f>SUM(L42,L47,L53,L57,L65,L72,L73)</f>
        <v>100063</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v>237134</v>
      </c>
      <c r="I80" s="477"/>
      <c r="J80" s="477"/>
      <c r="K80" s="1671">
        <f t="shared" si="11"/>
        <v>237134</v>
      </c>
      <c r="L80" s="466">
        <v>265475</v>
      </c>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237134</v>
      </c>
      <c r="I84" s="477"/>
      <c r="J84" s="477"/>
      <c r="K84" s="1670">
        <f>SUM(K78:K83)</f>
        <v>237134</v>
      </c>
      <c r="L84" s="1670">
        <f>SUM(L78:L83)</f>
        <v>265475</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237134</v>
      </c>
      <c r="I102" s="477"/>
      <c r="J102" s="477"/>
      <c r="K102" s="1677">
        <f>SUM(K84,K92,K100,K101)</f>
        <v>237134</v>
      </c>
      <c r="L102" s="1677">
        <f>SUM(L84,L92,L100,L101)</f>
        <v>265475</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58743</v>
      </c>
      <c r="D114" s="1670">
        <f t="shared" ref="D114:K114" si="13">SUM(D33,D74,D75,D102,D112,D113)</f>
        <v>7300</v>
      </c>
      <c r="E114" s="1670">
        <f t="shared" si="13"/>
        <v>44213</v>
      </c>
      <c r="F114" s="1670">
        <f t="shared" si="13"/>
        <v>106382</v>
      </c>
      <c r="G114" s="1670">
        <f t="shared" si="13"/>
        <v>28187</v>
      </c>
      <c r="H114" s="1670">
        <f>SUM(H33,H74,H75,H102,H112,H113)</f>
        <v>237134</v>
      </c>
      <c r="I114" s="1670">
        <f t="shared" si="13"/>
        <v>48941</v>
      </c>
      <c r="J114" s="1670">
        <f t="shared" si="13"/>
        <v>0</v>
      </c>
      <c r="K114" s="1670">
        <f t="shared" si="13"/>
        <v>530900</v>
      </c>
      <c r="L114" s="1670">
        <f>SUM(L33,L74,L75,L102,L112,L113)</f>
        <v>562961</v>
      </c>
    </row>
    <row r="115" spans="1:14" ht="13.5" thickTop="1" x14ac:dyDescent="0.2">
      <c r="A115" s="2183" t="s">
        <v>996</v>
      </c>
      <c r="B115" s="2184"/>
      <c r="C115" s="618"/>
      <c r="D115" s="618"/>
      <c r="E115" s="618"/>
      <c r="F115" s="618"/>
      <c r="G115" s="618"/>
      <c r="H115" s="618"/>
      <c r="I115" s="618"/>
      <c r="J115" s="618"/>
      <c r="K115" s="1684">
        <f>'Revenues 9-14'!C268-'Expenditures 15-22'!K114</f>
        <v>-76032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3" t="s">
        <v>620</v>
      </c>
      <c r="B151" s="2155"/>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6" t="s">
        <v>1178</v>
      </c>
      <c r="B152" s="2177"/>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83" t="s">
        <v>996</v>
      </c>
      <c r="B175" s="2184"/>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83" t="s">
        <v>996</v>
      </c>
      <c r="B211" s="2184"/>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83" t="s">
        <v>996</v>
      </c>
      <c r="B296" s="2184"/>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69" t="s">
        <v>996</v>
      </c>
      <c r="B343" s="2170"/>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3" t="s">
        <v>996</v>
      </c>
      <c r="B368" s="2184"/>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 sqref="B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G26" sqref="G2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1802</v>
      </c>
      <c r="B2" s="2201"/>
      <c r="C2" s="1884" t="s">
        <v>1954</v>
      </c>
      <c r="D2" s="723" t="s">
        <v>1955</v>
      </c>
      <c r="E2" s="723" t="s">
        <v>1956</v>
      </c>
      <c r="F2" s="1884" t="s">
        <v>1957</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21" sqref="H2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1812</v>
      </c>
      <c r="K2" s="762" t="s">
        <v>138</v>
      </c>
    </row>
    <row r="3" spans="1:11" x14ac:dyDescent="0.2">
      <c r="A3" s="2222" t="s">
        <v>1962</v>
      </c>
      <c r="B3" s="2223"/>
      <c r="C3" s="2223"/>
      <c r="D3" s="2223"/>
      <c r="E3" s="2224"/>
      <c r="F3" s="763"/>
      <c r="G3" s="764"/>
      <c r="H3" s="764"/>
      <c r="I3" s="764"/>
      <c r="J3" s="765"/>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3" t="s">
        <v>1813</v>
      </c>
      <c r="B10" s="2216"/>
      <c r="C10" s="2216"/>
      <c r="D10" s="2216"/>
      <c r="E10" s="2245"/>
      <c r="F10" s="783" t="s">
        <v>862</v>
      </c>
      <c r="G10" s="782"/>
      <c r="H10" s="784"/>
      <c r="I10" s="764"/>
      <c r="J10" s="765"/>
      <c r="K10" s="765"/>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0</v>
      </c>
      <c r="I12" s="1758">
        <f>SUM(I5:I11)</f>
        <v>0</v>
      </c>
      <c r="J12" s="1758">
        <f>SUM(J5:J11)</f>
        <v>0</v>
      </c>
      <c r="K12" s="1758">
        <f>SUM(K5:K11)</f>
        <v>0</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c r="I14" s="771"/>
      <c r="J14" s="773"/>
      <c r="K14" s="765"/>
    </row>
    <row r="15" spans="1:11" x14ac:dyDescent="0.2">
      <c r="A15" s="2216" t="s">
        <v>4</v>
      </c>
      <c r="B15" s="2216"/>
      <c r="C15" s="2216"/>
      <c r="D15" s="2216"/>
      <c r="E15" s="2244"/>
      <c r="F15" s="789" t="s">
        <v>855</v>
      </c>
      <c r="G15" s="771"/>
      <c r="H15" s="764"/>
      <c r="I15" s="764"/>
      <c r="J15" s="765"/>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51" t="s">
        <v>1809</v>
      </c>
      <c r="B19" s="2251"/>
      <c r="C19" s="2251"/>
      <c r="D19" s="2251"/>
      <c r="E19" s="2252"/>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0</v>
      </c>
      <c r="K21" s="793"/>
    </row>
    <row r="22" spans="1:11" ht="13.5" thickTop="1" x14ac:dyDescent="0.2">
      <c r="A22" s="2216" t="s">
        <v>1815</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0</v>
      </c>
      <c r="I23" s="1758">
        <f>SUM(I14:I16,I21,I22)</f>
        <v>0</v>
      </c>
      <c r="J23" s="1758">
        <f>SUM(J14:J16,J21,J22)</f>
        <v>0</v>
      </c>
      <c r="K23" s="1758">
        <f>SUM(K14:K16,K21,K22)</f>
        <v>0</v>
      </c>
    </row>
    <row r="24" spans="1:11" ht="14.25" thickTop="1" thickBot="1" x14ac:dyDescent="0.25">
      <c r="A24" s="2237" t="s">
        <v>1963</v>
      </c>
      <c r="B24" s="2236"/>
      <c r="C24" s="2236"/>
      <c r="D24" s="2236"/>
      <c r="E24" s="223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L12" sqref="L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958756</v>
      </c>
      <c r="D12" s="844">
        <v>12930</v>
      </c>
      <c r="E12" s="844">
        <v>1199</v>
      </c>
      <c r="F12" s="1760">
        <f>(C12+D12)-E12</f>
        <v>970487</v>
      </c>
      <c r="G12" s="843">
        <v>10</v>
      </c>
      <c r="H12" s="765">
        <v>657197</v>
      </c>
      <c r="I12" s="765">
        <v>68812</v>
      </c>
      <c r="J12" s="765">
        <v>570</v>
      </c>
      <c r="K12" s="1769">
        <f>(H12+I12)-J12</f>
        <v>725439</v>
      </c>
      <c r="L12" s="1769">
        <f>F12-K12</f>
        <v>245048</v>
      </c>
    </row>
    <row r="13" spans="1:14" ht="14.25" thickTop="1" thickBot="1" x14ac:dyDescent="0.25">
      <c r="A13" s="848" t="s">
        <v>1122</v>
      </c>
      <c r="B13" s="840">
        <v>252</v>
      </c>
      <c r="C13" s="844">
        <v>224397</v>
      </c>
      <c r="D13" s="844">
        <v>15257</v>
      </c>
      <c r="E13" s="844">
        <v>599</v>
      </c>
      <c r="F13" s="1760">
        <f>(C13+D13)-E13</f>
        <v>239055</v>
      </c>
      <c r="G13" s="843">
        <v>5</v>
      </c>
      <c r="H13" s="765">
        <v>114475</v>
      </c>
      <c r="I13" s="765">
        <v>44136</v>
      </c>
      <c r="J13" s="765">
        <v>599</v>
      </c>
      <c r="K13" s="1769">
        <f>(H13+I13)-J13</f>
        <v>158012</v>
      </c>
      <c r="L13" s="1769">
        <f>F13-K13</f>
        <v>81043</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1183153</v>
      </c>
      <c r="D16" s="1760">
        <f>SUM(D3,D5:D6,D8:D10,D12:D15)</f>
        <v>28187</v>
      </c>
      <c r="E16" s="1760">
        <f>SUM(E3,E5:E6,E8:E10,E12:E15)</f>
        <v>1798</v>
      </c>
      <c r="F16" s="1760">
        <f>SUM(F3,F5:F6,F8:F10,F12:F15)</f>
        <v>1209542</v>
      </c>
      <c r="G16" s="843"/>
      <c r="H16" s="1760">
        <f>SUM(H3,H6,H8:H10,H12:H14,)</f>
        <v>771672</v>
      </c>
      <c r="I16" s="1760">
        <f>SUM(I3,I6,I8:I10,I12:I14,)</f>
        <v>112948</v>
      </c>
      <c r="J16" s="1760">
        <f>SUM(J3,J6,J8:J10,J12:J14,)</f>
        <v>1169</v>
      </c>
      <c r="K16" s="1760">
        <f>(H16+I16)-J16</f>
        <v>883451</v>
      </c>
      <c r="L16" s="1760">
        <f>F16-K16</f>
        <v>326091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48941</v>
      </c>
      <c r="G17" s="837">
        <v>10</v>
      </c>
      <c r="H17" s="769"/>
      <c r="I17" s="1769">
        <f>F17/G17</f>
        <v>4894.1000000000004</v>
      </c>
      <c r="J17" s="769"/>
      <c r="K17" s="795"/>
      <c r="L17" s="795"/>
    </row>
    <row r="18" spans="1:12" ht="14.25" thickTop="1" thickBot="1" x14ac:dyDescent="0.25">
      <c r="A18" s="1767" t="s">
        <v>685</v>
      </c>
      <c r="B18" s="1768"/>
      <c r="C18" s="771"/>
      <c r="D18" s="771"/>
      <c r="E18" s="771"/>
      <c r="F18" s="850"/>
      <c r="G18" s="851"/>
      <c r="H18" s="773"/>
      <c r="I18" s="1760">
        <f>SUM(I16,I17)</f>
        <v>117842.1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36" activePane="bottomLeft" state="frozen"/>
      <selection activeCell="A47" sqref="A47"/>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530900</v>
      </c>
      <c r="G8" s="865"/>
    </row>
    <row r="9" spans="1:7" x14ac:dyDescent="0.2">
      <c r="A9" s="869" t="s">
        <v>460</v>
      </c>
      <c r="B9" s="870" t="s">
        <v>1876</v>
      </c>
      <c r="C9" s="871"/>
      <c r="D9" s="869" t="s">
        <v>501</v>
      </c>
      <c r="E9" s="868"/>
      <c r="F9" s="1909">
        <f>'Expenditures 15-22'!K151</f>
        <v>0</v>
      </c>
      <c r="G9" s="872"/>
    </row>
    <row r="10" spans="1:7" x14ac:dyDescent="0.2">
      <c r="A10" s="869" t="s">
        <v>499</v>
      </c>
      <c r="B10" s="870" t="s">
        <v>1877</v>
      </c>
      <c r="C10" s="871"/>
      <c r="D10" s="869" t="s">
        <v>501</v>
      </c>
      <c r="E10" s="868"/>
      <c r="F10" s="1909">
        <f>'Expenditures 15-22'!K174</f>
        <v>0</v>
      </c>
      <c r="G10" s="872"/>
    </row>
    <row r="11" spans="1:7" x14ac:dyDescent="0.2">
      <c r="A11" s="869" t="s">
        <v>461</v>
      </c>
      <c r="B11" s="870" t="s">
        <v>1878</v>
      </c>
      <c r="C11" s="871"/>
      <c r="D11" s="869" t="s">
        <v>501</v>
      </c>
      <c r="E11" s="868"/>
      <c r="F11" s="1909">
        <f>'Expenditures 15-22'!K210</f>
        <v>0</v>
      </c>
      <c r="G11" s="872"/>
    </row>
    <row r="12" spans="1:7" x14ac:dyDescent="0.2">
      <c r="A12" s="869" t="s">
        <v>462</v>
      </c>
      <c r="B12" s="870" t="s">
        <v>1879</v>
      </c>
      <c r="C12" s="871"/>
      <c r="D12" s="869" t="s">
        <v>501</v>
      </c>
      <c r="E12" s="868"/>
      <c r="F12" s="1909">
        <f>'Expenditures 15-22'!K295</f>
        <v>0</v>
      </c>
      <c r="G12" s="872"/>
    </row>
    <row r="13" spans="1:7" x14ac:dyDescent="0.2">
      <c r="A13" s="869" t="s">
        <v>106</v>
      </c>
      <c r="B13" s="870" t="s">
        <v>1880</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530900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237134</v>
      </c>
      <c r="G53" s="865"/>
    </row>
    <row r="54" spans="1:7" x14ac:dyDescent="0.2">
      <c r="A54" s="869" t="s">
        <v>459</v>
      </c>
      <c r="B54" s="869" t="s">
        <v>1476</v>
      </c>
      <c r="C54" s="889" t="s">
        <v>982</v>
      </c>
      <c r="D54" s="885" t="s">
        <v>1095</v>
      </c>
      <c r="E54" s="868"/>
      <c r="F54" s="1913">
        <f>'Expenditures 15-22'!G114</f>
        <v>28187</v>
      </c>
      <c r="G54" s="865"/>
    </row>
    <row r="55" spans="1:7" x14ac:dyDescent="0.2">
      <c r="A55" s="869" t="s">
        <v>459</v>
      </c>
      <c r="B55" s="869" t="s">
        <v>1477</v>
      </c>
      <c r="C55" s="889" t="s">
        <v>982</v>
      </c>
      <c r="D55" s="885" t="s">
        <v>291</v>
      </c>
      <c r="E55" s="868"/>
      <c r="F55" s="1913">
        <f>'Expenditures 15-22'!I114</f>
        <v>48941</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314262</v>
      </c>
      <c r="G76" s="865"/>
    </row>
    <row r="77" spans="1:8" s="893" customFormat="1" ht="12" customHeight="1" thickTop="1" thickBot="1" x14ac:dyDescent="0.25">
      <c r="A77" s="1779"/>
      <c r="B77" s="1776"/>
      <c r="C77" s="1772"/>
      <c r="D77" s="1777" t="s">
        <v>1899</v>
      </c>
      <c r="E77" s="1774"/>
      <c r="F77" s="1780">
        <f>(F14-F76)</f>
        <v>216638</v>
      </c>
      <c r="G77" s="869"/>
    </row>
    <row r="78" spans="1:8" s="893" customFormat="1" ht="12" customHeight="1" thickTop="1" x14ac:dyDescent="0.2">
      <c r="A78" s="1781"/>
      <c r="B78" s="1776"/>
      <c r="C78" s="1772"/>
      <c r="D78" s="1777" t="s">
        <v>2060</v>
      </c>
      <c r="E78" s="1774"/>
      <c r="F78" s="898">
        <v>0</v>
      </c>
      <c r="G78" s="899"/>
      <c r="H78" s="869"/>
    </row>
    <row r="79" spans="1:8" s="893" customFormat="1" ht="12" customHeight="1" thickBot="1" x14ac:dyDescent="0.25">
      <c r="A79" s="1782"/>
      <c r="B79" s="1776"/>
      <c r="C79" s="1772"/>
      <c r="D79" s="1777" t="s">
        <v>1900</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329155</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125713</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454868</v>
      </c>
    </row>
    <row r="175" spans="1:7" ht="12" customHeight="1" x14ac:dyDescent="0.2">
      <c r="A175" s="1770"/>
      <c r="B175" s="1784"/>
      <c r="C175" s="1785"/>
      <c r="D175" s="1786" t="s">
        <v>2055</v>
      </c>
      <c r="E175" s="1787"/>
      <c r="F175" s="1789">
        <f>'PCTC-OEPP 27-28'!F77-F174</f>
        <v>-238230</v>
      </c>
    </row>
    <row r="176" spans="1:7" ht="12" customHeight="1" x14ac:dyDescent="0.2">
      <c r="A176" s="1770"/>
      <c r="B176" s="1784"/>
      <c r="C176" s="1785"/>
      <c r="D176" s="1786" t="s">
        <v>1817</v>
      </c>
      <c r="E176" s="1787"/>
      <c r="F176" s="1789">
        <f>'Cap Outlay Deprec 26'!I18</f>
        <v>117842.1</v>
      </c>
    </row>
    <row r="177" spans="1:7" ht="12" customHeight="1" x14ac:dyDescent="0.2">
      <c r="A177" s="1770"/>
      <c r="B177" s="1784"/>
      <c r="C177" s="1785"/>
      <c r="D177" s="1786" t="s">
        <v>2056</v>
      </c>
      <c r="E177" s="1787"/>
      <c r="F177" s="1789">
        <f>F175+F176</f>
        <v>-120387.9</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topLeftCell="A7" zoomScaleNormal="100" workbookViewId="0">
      <selection activeCell="A8" sqref="A8:G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9" t="s">
        <v>2064</v>
      </c>
      <c r="B6" s="1940"/>
      <c r="C6" s="1940"/>
      <c r="D6" s="1940"/>
      <c r="E6" s="1940"/>
      <c r="F6" s="1940"/>
      <c r="G6" s="1941"/>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0"/>
      <c r="B18" s="1937"/>
      <c r="C18" s="1656"/>
      <c r="D18" s="1844"/>
      <c r="E18" s="1540">
        <f t="shared" ref="E18:E142" si="0">IF(D18&lt;=25000,D18,IF(D18&gt;25000,25000,0))</f>
        <v>0</v>
      </c>
      <c r="F18" s="1938">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4"/>
      <c r="C19" s="1656"/>
      <c r="D19" s="1844"/>
      <c r="E19" s="1540">
        <f t="shared" ref="E19:E141" si="2">IF(D19&lt;=25000,D19,IF(D19&gt;25000,25000,0))</f>
        <v>0</v>
      </c>
      <c r="F19" s="1938">
        <f t="shared" si="1"/>
        <v>0</v>
      </c>
      <c r="G19" s="1793">
        <f t="shared" ref="G19:G141" si="3">IF(F19=0,0,D19-F19)</f>
        <v>0</v>
      </c>
    </row>
    <row r="20" spans="1:8" x14ac:dyDescent="0.25">
      <c r="A20" s="1653"/>
      <c r="B20" s="1934"/>
      <c r="C20" s="1656"/>
      <c r="D20" s="1844"/>
      <c r="E20" s="1540">
        <f t="shared" si="2"/>
        <v>0</v>
      </c>
      <c r="F20" s="1938">
        <f t="shared" si="1"/>
        <v>0</v>
      </c>
      <c r="G20" s="1793">
        <f t="shared" si="3"/>
        <v>0</v>
      </c>
    </row>
    <row r="21" spans="1:8" x14ac:dyDescent="0.25">
      <c r="A21" s="1653"/>
      <c r="B21" s="1934"/>
      <c r="C21" s="1656"/>
      <c r="D21" s="1844"/>
      <c r="E21" s="1540">
        <f t="shared" si="2"/>
        <v>0</v>
      </c>
      <c r="F21" s="1938">
        <f t="shared" si="1"/>
        <v>0</v>
      </c>
      <c r="G21" s="1793">
        <f t="shared" si="3"/>
        <v>0</v>
      </c>
    </row>
    <row r="22" spans="1:8" x14ac:dyDescent="0.25">
      <c r="A22" s="1653"/>
      <c r="B22" s="1934"/>
      <c r="C22" s="1656"/>
      <c r="D22" s="1844"/>
      <c r="E22" s="1540">
        <f t="shared" si="2"/>
        <v>0</v>
      </c>
      <c r="F22" s="1938">
        <f t="shared" si="1"/>
        <v>0</v>
      </c>
      <c r="G22" s="1793">
        <f t="shared" si="3"/>
        <v>0</v>
      </c>
    </row>
    <row r="23" spans="1:8" x14ac:dyDescent="0.25">
      <c r="A23" s="1653"/>
      <c r="B23" s="1934"/>
      <c r="C23" s="1656"/>
      <c r="D23" s="1844"/>
      <c r="E23" s="1540">
        <f t="shared" si="2"/>
        <v>0</v>
      </c>
      <c r="F23" s="1938">
        <f t="shared" si="1"/>
        <v>0</v>
      </c>
      <c r="G23" s="1793">
        <f t="shared" si="3"/>
        <v>0</v>
      </c>
    </row>
    <row r="24" spans="1:8" x14ac:dyDescent="0.25">
      <c r="A24" s="1653"/>
      <c r="B24" s="1934"/>
      <c r="C24" s="1656"/>
      <c r="D24" s="1844"/>
      <c r="E24" s="1540">
        <f t="shared" si="2"/>
        <v>0</v>
      </c>
      <c r="F24" s="1938">
        <f t="shared" si="1"/>
        <v>0</v>
      </c>
      <c r="G24" s="1793">
        <f t="shared" si="3"/>
        <v>0</v>
      </c>
    </row>
    <row r="25" spans="1:8" x14ac:dyDescent="0.25">
      <c r="A25" s="1653"/>
      <c r="B25" s="1934"/>
      <c r="C25" s="1656"/>
      <c r="D25" s="1844"/>
      <c r="E25" s="1540">
        <f t="shared" si="2"/>
        <v>0</v>
      </c>
      <c r="F25" s="1938">
        <f t="shared" si="1"/>
        <v>0</v>
      </c>
      <c r="G25" s="1793">
        <f t="shared" si="3"/>
        <v>0</v>
      </c>
    </row>
    <row r="26" spans="1:8" x14ac:dyDescent="0.25">
      <c r="A26" s="1653"/>
      <c r="B26" s="1934"/>
      <c r="C26" s="1656"/>
      <c r="D26" s="1844"/>
      <c r="E26" s="1540">
        <f t="shared" si="2"/>
        <v>0</v>
      </c>
      <c r="F26" s="1938">
        <f t="shared" si="1"/>
        <v>0</v>
      </c>
      <c r="G26" s="1793">
        <f t="shared" si="3"/>
        <v>0</v>
      </c>
    </row>
    <row r="27" spans="1:8" x14ac:dyDescent="0.25">
      <c r="A27" s="1653"/>
      <c r="B27" s="1934"/>
      <c r="C27" s="1654"/>
      <c r="D27" s="1844"/>
      <c r="E27" s="1540">
        <f t="shared" si="2"/>
        <v>0</v>
      </c>
      <c r="F27" s="1938">
        <f t="shared" si="1"/>
        <v>0</v>
      </c>
      <c r="G27" s="1793">
        <f t="shared" si="3"/>
        <v>0</v>
      </c>
    </row>
    <row r="28" spans="1:8" x14ac:dyDescent="0.25">
      <c r="A28" s="1653"/>
      <c r="B28" s="1934"/>
      <c r="C28" s="1654"/>
      <c r="D28" s="1844"/>
      <c r="E28" s="1540">
        <f t="shared" si="2"/>
        <v>0</v>
      </c>
      <c r="F28" s="1938">
        <f t="shared" si="1"/>
        <v>0</v>
      </c>
      <c r="G28" s="1793">
        <f t="shared" si="3"/>
        <v>0</v>
      </c>
    </row>
    <row r="29" spans="1:8" x14ac:dyDescent="0.25">
      <c r="A29" s="1653"/>
      <c r="B29" s="1934"/>
      <c r="C29" s="1654"/>
      <c r="D29" s="1844"/>
      <c r="E29" s="1540">
        <f t="shared" si="2"/>
        <v>0</v>
      </c>
      <c r="F29" s="1938">
        <f t="shared" si="1"/>
        <v>0</v>
      </c>
      <c r="G29" s="1793">
        <f t="shared" si="3"/>
        <v>0</v>
      </c>
    </row>
    <row r="30" spans="1:8" x14ac:dyDescent="0.25">
      <c r="A30" s="1653"/>
      <c r="B30" s="1934"/>
      <c r="C30" s="1654"/>
      <c r="D30" s="1844"/>
      <c r="E30" s="1540">
        <f t="shared" si="2"/>
        <v>0</v>
      </c>
      <c r="F30" s="1938">
        <f t="shared" si="1"/>
        <v>0</v>
      </c>
      <c r="G30" s="1793">
        <f t="shared" si="3"/>
        <v>0</v>
      </c>
    </row>
    <row r="31" spans="1:8" x14ac:dyDescent="0.25">
      <c r="A31" s="1653"/>
      <c r="B31" s="1934"/>
      <c r="C31" s="1654"/>
      <c r="D31" s="1844"/>
      <c r="E31" s="1540">
        <f t="shared" si="2"/>
        <v>0</v>
      </c>
      <c r="F31" s="1938">
        <f t="shared" si="1"/>
        <v>0</v>
      </c>
      <c r="G31" s="1793">
        <f t="shared" si="3"/>
        <v>0</v>
      </c>
    </row>
    <row r="32" spans="1:8" x14ac:dyDescent="0.25">
      <c r="A32" s="1653"/>
      <c r="B32" s="1934"/>
      <c r="C32" s="1654"/>
      <c r="D32" s="1844"/>
      <c r="E32" s="1540">
        <f t="shared" si="2"/>
        <v>0</v>
      </c>
      <c r="F32" s="1938">
        <f t="shared" si="1"/>
        <v>0</v>
      </c>
      <c r="G32" s="1793">
        <f t="shared" si="3"/>
        <v>0</v>
      </c>
    </row>
    <row r="33" spans="1:7" x14ac:dyDescent="0.25">
      <c r="A33" s="1653"/>
      <c r="B33" s="1934"/>
      <c r="C33" s="1654"/>
      <c r="D33" s="1844"/>
      <c r="E33" s="1540">
        <f t="shared" si="2"/>
        <v>0</v>
      </c>
      <c r="F33" s="1938">
        <f t="shared" si="1"/>
        <v>0</v>
      </c>
      <c r="G33" s="1793">
        <f t="shared" si="3"/>
        <v>0</v>
      </c>
    </row>
    <row r="34" spans="1:7" x14ac:dyDescent="0.25">
      <c r="A34" s="1653"/>
      <c r="B34" s="1934"/>
      <c r="C34" s="1654"/>
      <c r="D34" s="1844"/>
      <c r="E34" s="1540">
        <f t="shared" si="2"/>
        <v>0</v>
      </c>
      <c r="F34" s="1938">
        <f t="shared" si="1"/>
        <v>0</v>
      </c>
      <c r="G34" s="1793">
        <f t="shared" si="3"/>
        <v>0</v>
      </c>
    </row>
    <row r="35" spans="1:7" x14ac:dyDescent="0.25">
      <c r="A35" s="1653"/>
      <c r="B35" s="1934"/>
      <c r="C35" s="1654"/>
      <c r="D35" s="1844"/>
      <c r="E35" s="1540">
        <f t="shared" si="2"/>
        <v>0</v>
      </c>
      <c r="F35" s="1938">
        <f t="shared" si="1"/>
        <v>0</v>
      </c>
      <c r="G35" s="1793">
        <f t="shared" si="3"/>
        <v>0</v>
      </c>
    </row>
    <row r="36" spans="1:7" x14ac:dyDescent="0.25">
      <c r="A36" s="1653"/>
      <c r="B36" s="1934"/>
      <c r="C36" s="1654"/>
      <c r="D36" s="1844"/>
      <c r="E36" s="1540">
        <f t="shared" si="2"/>
        <v>0</v>
      </c>
      <c r="F36" s="1938">
        <f t="shared" si="1"/>
        <v>0</v>
      </c>
      <c r="G36" s="1793">
        <f t="shared" si="3"/>
        <v>0</v>
      </c>
    </row>
    <row r="37" spans="1:7" x14ac:dyDescent="0.25">
      <c r="A37" s="1653"/>
      <c r="B37" s="1934"/>
      <c r="C37" s="1654"/>
      <c r="D37" s="1844"/>
      <c r="E37" s="1540">
        <f t="shared" si="2"/>
        <v>0</v>
      </c>
      <c r="F37" s="1938">
        <f t="shared" si="1"/>
        <v>0</v>
      </c>
      <c r="G37" s="1793">
        <f t="shared" si="3"/>
        <v>0</v>
      </c>
    </row>
    <row r="38" spans="1:7" x14ac:dyDescent="0.25">
      <c r="A38" s="1653"/>
      <c r="B38" s="1934"/>
      <c r="C38" s="1654"/>
      <c r="D38" s="1844"/>
      <c r="E38" s="1540">
        <f t="shared" si="2"/>
        <v>0</v>
      </c>
      <c r="F38" s="1938">
        <f t="shared" si="1"/>
        <v>0</v>
      </c>
      <c r="G38" s="1793">
        <f t="shared" si="3"/>
        <v>0</v>
      </c>
    </row>
    <row r="39" spans="1:7" x14ac:dyDescent="0.25">
      <c r="A39" s="1653"/>
      <c r="B39" s="1935"/>
      <c r="C39" s="1654"/>
      <c r="D39" s="1844"/>
      <c r="E39" s="1540">
        <f t="shared" si="2"/>
        <v>0</v>
      </c>
      <c r="F39" s="1938">
        <f t="shared" si="1"/>
        <v>0</v>
      </c>
      <c r="G39" s="1793">
        <f t="shared" si="3"/>
        <v>0</v>
      </c>
    </row>
    <row r="40" spans="1:7" x14ac:dyDescent="0.25">
      <c r="A40" s="1653"/>
      <c r="B40" s="1935"/>
      <c r="C40" s="1654"/>
      <c r="D40" s="1844"/>
      <c r="E40" s="1540">
        <f t="shared" si="2"/>
        <v>0</v>
      </c>
      <c r="F40" s="1938">
        <f t="shared" si="1"/>
        <v>0</v>
      </c>
      <c r="G40" s="1793">
        <f t="shared" si="3"/>
        <v>0</v>
      </c>
    </row>
    <row r="41" spans="1:7" x14ac:dyDescent="0.25">
      <c r="A41" s="1653"/>
      <c r="B41" s="1935"/>
      <c r="C41" s="1654"/>
      <c r="D41" s="1844"/>
      <c r="E41" s="1540">
        <f t="shared" si="2"/>
        <v>0</v>
      </c>
      <c r="F41" s="1938">
        <f t="shared" si="1"/>
        <v>0</v>
      </c>
      <c r="G41" s="1793">
        <f t="shared" si="3"/>
        <v>0</v>
      </c>
    </row>
    <row r="42" spans="1:7" x14ac:dyDescent="0.25">
      <c r="A42" s="1653"/>
      <c r="B42" s="1935"/>
      <c r="C42" s="1654"/>
      <c r="D42" s="1844"/>
      <c r="E42" s="1540">
        <f t="shared" si="2"/>
        <v>0</v>
      </c>
      <c r="F42" s="1938">
        <f t="shared" si="1"/>
        <v>0</v>
      </c>
      <c r="G42" s="1793">
        <f t="shared" si="3"/>
        <v>0</v>
      </c>
    </row>
    <row r="43" spans="1:7" x14ac:dyDescent="0.25">
      <c r="A43" s="1653"/>
      <c r="B43" s="1935"/>
      <c r="C43" s="1654"/>
      <c r="D43" s="1844"/>
      <c r="E43" s="1540">
        <f t="shared" si="2"/>
        <v>0</v>
      </c>
      <c r="F43" s="1938">
        <f t="shared" si="1"/>
        <v>0</v>
      </c>
      <c r="G43" s="1793">
        <f t="shared" si="3"/>
        <v>0</v>
      </c>
    </row>
    <row r="44" spans="1:7" x14ac:dyDescent="0.25">
      <c r="A44" s="1653"/>
      <c r="B44" s="1935"/>
      <c r="C44" s="1654"/>
      <c r="D44" s="1844"/>
      <c r="E44" s="1540">
        <f t="shared" si="2"/>
        <v>0</v>
      </c>
      <c r="F44" s="1938">
        <f t="shared" si="1"/>
        <v>0</v>
      </c>
      <c r="G44" s="1793">
        <f t="shared" si="3"/>
        <v>0</v>
      </c>
    </row>
    <row r="45" spans="1:7" x14ac:dyDescent="0.25">
      <c r="A45" s="1653"/>
      <c r="B45" s="1935"/>
      <c r="C45" s="1654"/>
      <c r="D45" s="1844"/>
      <c r="E45" s="1540">
        <f t="shared" si="2"/>
        <v>0</v>
      </c>
      <c r="F45" s="1938">
        <f t="shared" si="1"/>
        <v>0</v>
      </c>
      <c r="G45" s="1793">
        <f t="shared" si="3"/>
        <v>0</v>
      </c>
    </row>
    <row r="46" spans="1:7" x14ac:dyDescent="0.25">
      <c r="A46" s="1653"/>
      <c r="B46" s="1935"/>
      <c r="C46" s="1654"/>
      <c r="D46" s="1844"/>
      <c r="E46" s="1540">
        <f t="shared" si="2"/>
        <v>0</v>
      </c>
      <c r="F46" s="1938">
        <f t="shared" si="1"/>
        <v>0</v>
      </c>
      <c r="G46" s="1793">
        <f t="shared" si="3"/>
        <v>0</v>
      </c>
    </row>
    <row r="47" spans="1:7" x14ac:dyDescent="0.25">
      <c r="A47" s="1653"/>
      <c r="B47" s="1667"/>
      <c r="C47" s="1654"/>
      <c r="D47" s="1844"/>
      <c r="E47" s="1540">
        <f t="shared" si="2"/>
        <v>0</v>
      </c>
      <c r="F47" s="1938">
        <f t="shared" si="1"/>
        <v>0</v>
      </c>
      <c r="G47" s="1793">
        <f t="shared" si="3"/>
        <v>0</v>
      </c>
    </row>
    <row r="48" spans="1:7" x14ac:dyDescent="0.25">
      <c r="A48" s="1653"/>
      <c r="B48" s="1667"/>
      <c r="C48" s="1654"/>
      <c r="D48" s="1844"/>
      <c r="E48" s="1540">
        <f t="shared" si="2"/>
        <v>0</v>
      </c>
      <c r="F48" s="1938">
        <f t="shared" si="1"/>
        <v>0</v>
      </c>
      <c r="G48" s="1793">
        <f t="shared" si="3"/>
        <v>0</v>
      </c>
    </row>
    <row r="49" spans="1:7" x14ac:dyDescent="0.25">
      <c r="A49" s="1653"/>
      <c r="B49" s="1667"/>
      <c r="C49" s="1654"/>
      <c r="D49" s="1844"/>
      <c r="E49" s="1540">
        <f t="shared" si="2"/>
        <v>0</v>
      </c>
      <c r="F49" s="1938">
        <f t="shared" si="1"/>
        <v>0</v>
      </c>
      <c r="G49" s="1793">
        <f t="shared" si="3"/>
        <v>0</v>
      </c>
    </row>
    <row r="50" spans="1:7" x14ac:dyDescent="0.25">
      <c r="A50" s="1653"/>
      <c r="B50" s="1667"/>
      <c r="C50" s="1654"/>
      <c r="D50" s="1844"/>
      <c r="E50" s="1540">
        <f t="shared" si="2"/>
        <v>0</v>
      </c>
      <c r="F50" s="1938">
        <f t="shared" si="1"/>
        <v>0</v>
      </c>
      <c r="G50" s="1793">
        <f t="shared" si="3"/>
        <v>0</v>
      </c>
    </row>
    <row r="51" spans="1:7" x14ac:dyDescent="0.25">
      <c r="A51" s="1653"/>
      <c r="B51" s="1667"/>
      <c r="C51" s="1654"/>
      <c r="D51" s="1844"/>
      <c r="E51" s="1540">
        <f t="shared" si="2"/>
        <v>0</v>
      </c>
      <c r="F51" s="1938">
        <f t="shared" si="1"/>
        <v>0</v>
      </c>
      <c r="G51" s="1793">
        <f t="shared" si="3"/>
        <v>0</v>
      </c>
    </row>
    <row r="52" spans="1:7" x14ac:dyDescent="0.25">
      <c r="A52" s="1653"/>
      <c r="B52" s="1667"/>
      <c r="C52" s="1654"/>
      <c r="D52" s="1844"/>
      <c r="E52" s="1540">
        <f t="shared" si="2"/>
        <v>0</v>
      </c>
      <c r="F52" s="1938">
        <f t="shared" si="1"/>
        <v>0</v>
      </c>
      <c r="G52" s="1793">
        <f t="shared" si="3"/>
        <v>0</v>
      </c>
    </row>
    <row r="53" spans="1:7" x14ac:dyDescent="0.25">
      <c r="A53" s="1653"/>
      <c r="B53" s="1667"/>
      <c r="C53" s="1654"/>
      <c r="D53" s="1844"/>
      <c r="E53" s="1540">
        <f t="shared" si="2"/>
        <v>0</v>
      </c>
      <c r="F53" s="1938">
        <f t="shared" si="1"/>
        <v>0</v>
      </c>
      <c r="G53" s="1793">
        <f t="shared" si="3"/>
        <v>0</v>
      </c>
    </row>
    <row r="54" spans="1:7" x14ac:dyDescent="0.25">
      <c r="A54" s="1653"/>
      <c r="B54" s="1667"/>
      <c r="C54" s="1654"/>
      <c r="D54" s="1844"/>
      <c r="E54" s="1540">
        <f t="shared" si="2"/>
        <v>0</v>
      </c>
      <c r="F54" s="1938">
        <f t="shared" si="1"/>
        <v>0</v>
      </c>
      <c r="G54" s="1793">
        <f t="shared" si="3"/>
        <v>0</v>
      </c>
    </row>
    <row r="55" spans="1:7" x14ac:dyDescent="0.25">
      <c r="A55" s="1653"/>
      <c r="B55" s="1667"/>
      <c r="C55" s="1654"/>
      <c r="D55" s="1844"/>
      <c r="E55" s="1540">
        <f t="shared" si="2"/>
        <v>0</v>
      </c>
      <c r="F55" s="1938">
        <f t="shared" si="1"/>
        <v>0</v>
      </c>
      <c r="G55" s="1793">
        <f t="shared" si="3"/>
        <v>0</v>
      </c>
    </row>
    <row r="56" spans="1:7" x14ac:dyDescent="0.25">
      <c r="A56" s="1653"/>
      <c r="B56" s="1667"/>
      <c r="C56" s="1654"/>
      <c r="D56" s="1844"/>
      <c r="E56" s="1540">
        <f t="shared" si="2"/>
        <v>0</v>
      </c>
      <c r="F56" s="1938">
        <f t="shared" si="1"/>
        <v>0</v>
      </c>
      <c r="G56" s="1793">
        <f t="shared" si="3"/>
        <v>0</v>
      </c>
    </row>
    <row r="57" spans="1:7" x14ac:dyDescent="0.25">
      <c r="A57" s="1653"/>
      <c r="B57" s="1667"/>
      <c r="C57" s="1654"/>
      <c r="D57" s="1844"/>
      <c r="E57" s="1540">
        <f t="shared" si="2"/>
        <v>0</v>
      </c>
      <c r="F57" s="1938">
        <f t="shared" si="1"/>
        <v>0</v>
      </c>
      <c r="G57" s="1793">
        <f t="shared" si="3"/>
        <v>0</v>
      </c>
    </row>
    <row r="58" spans="1:7" x14ac:dyDescent="0.25">
      <c r="A58" s="1653"/>
      <c r="B58" s="1667"/>
      <c r="C58" s="1654"/>
      <c r="D58" s="1844"/>
      <c r="E58" s="1540">
        <f t="shared" si="2"/>
        <v>0</v>
      </c>
      <c r="F58" s="1938">
        <f t="shared" si="1"/>
        <v>0</v>
      </c>
      <c r="G58" s="1793">
        <f t="shared" si="3"/>
        <v>0</v>
      </c>
    </row>
    <row r="59" spans="1:7" x14ac:dyDescent="0.25">
      <c r="A59" s="1653"/>
      <c r="B59" s="1667"/>
      <c r="C59" s="1654"/>
      <c r="D59" s="1844"/>
      <c r="E59" s="1540">
        <f t="shared" si="2"/>
        <v>0</v>
      </c>
      <c r="F59" s="1938">
        <f t="shared" si="1"/>
        <v>0</v>
      </c>
      <c r="G59" s="1793">
        <f t="shared" si="3"/>
        <v>0</v>
      </c>
    </row>
    <row r="60" spans="1:7" x14ac:dyDescent="0.25">
      <c r="A60" s="1653"/>
      <c r="B60" s="1667"/>
      <c r="C60" s="1654"/>
      <c r="D60" s="1844"/>
      <c r="E60" s="1540">
        <f t="shared" si="2"/>
        <v>0</v>
      </c>
      <c r="F60" s="1938">
        <f t="shared" si="1"/>
        <v>0</v>
      </c>
      <c r="G60" s="1793">
        <f t="shared" si="3"/>
        <v>0</v>
      </c>
    </row>
    <row r="61" spans="1:7" x14ac:dyDescent="0.25">
      <c r="A61" s="1653"/>
      <c r="B61" s="1667"/>
      <c r="C61" s="1654"/>
      <c r="D61" s="1844"/>
      <c r="E61" s="1540">
        <f t="shared" si="2"/>
        <v>0</v>
      </c>
      <c r="F61" s="1938">
        <f t="shared" si="1"/>
        <v>0</v>
      </c>
      <c r="G61" s="1793">
        <f t="shared" si="3"/>
        <v>0</v>
      </c>
    </row>
    <row r="62" spans="1:7" x14ac:dyDescent="0.25">
      <c r="A62" s="1653"/>
      <c r="B62" s="1667"/>
      <c r="C62" s="1654"/>
      <c r="D62" s="1844"/>
      <c r="E62" s="1540">
        <f t="shared" si="2"/>
        <v>0</v>
      </c>
      <c r="F62" s="1938">
        <f t="shared" si="1"/>
        <v>0</v>
      </c>
      <c r="G62" s="1793">
        <f t="shared" si="3"/>
        <v>0</v>
      </c>
    </row>
    <row r="63" spans="1:7" x14ac:dyDescent="0.25">
      <c r="A63" s="1653"/>
      <c r="B63" s="1667"/>
      <c r="C63" s="1654"/>
      <c r="D63" s="1844"/>
      <c r="E63" s="1540">
        <f t="shared" si="2"/>
        <v>0</v>
      </c>
      <c r="F63" s="1938">
        <f t="shared" si="1"/>
        <v>0</v>
      </c>
      <c r="G63" s="1793">
        <f t="shared" si="3"/>
        <v>0</v>
      </c>
    </row>
    <row r="64" spans="1:7" x14ac:dyDescent="0.25">
      <c r="A64" s="1653"/>
      <c r="B64" s="1667"/>
      <c r="C64" s="1654"/>
      <c r="D64" s="1844"/>
      <c r="E64" s="1540">
        <f t="shared" si="2"/>
        <v>0</v>
      </c>
      <c r="F64" s="1938">
        <f t="shared" si="1"/>
        <v>0</v>
      </c>
      <c r="G64" s="1793">
        <f t="shared" si="3"/>
        <v>0</v>
      </c>
    </row>
    <row r="65" spans="1:7" x14ac:dyDescent="0.25">
      <c r="A65" s="1655"/>
      <c r="B65" s="1667"/>
      <c r="C65" s="1656"/>
      <c r="D65" s="1844"/>
      <c r="E65" s="1540">
        <f t="shared" si="2"/>
        <v>0</v>
      </c>
      <c r="F65" s="1938">
        <f t="shared" si="1"/>
        <v>0</v>
      </c>
      <c r="G65" s="1793">
        <f t="shared" si="3"/>
        <v>0</v>
      </c>
    </row>
    <row r="66" spans="1:7" x14ac:dyDescent="0.25">
      <c r="A66" s="1653"/>
      <c r="B66" s="1667"/>
      <c r="C66" s="1654"/>
      <c r="D66" s="1844"/>
      <c r="E66" s="1540">
        <f t="shared" si="2"/>
        <v>0</v>
      </c>
      <c r="F66" s="1938">
        <f t="shared" si="1"/>
        <v>0</v>
      </c>
      <c r="G66" s="1793">
        <f t="shared" si="3"/>
        <v>0</v>
      </c>
    </row>
    <row r="67" spans="1:7" x14ac:dyDescent="0.25">
      <c r="A67" s="1653"/>
      <c r="B67" s="1667"/>
      <c r="C67" s="1654"/>
      <c r="D67" s="1844"/>
      <c r="E67" s="1540">
        <f t="shared" si="2"/>
        <v>0</v>
      </c>
      <c r="F67" s="1938">
        <f t="shared" si="1"/>
        <v>0</v>
      </c>
      <c r="G67" s="1793">
        <f t="shared" si="3"/>
        <v>0</v>
      </c>
    </row>
    <row r="68" spans="1:7" x14ac:dyDescent="0.25">
      <c r="A68" s="1653"/>
      <c r="B68" s="1667"/>
      <c r="C68" s="1654"/>
      <c r="D68" s="1844"/>
      <c r="E68" s="1540">
        <f t="shared" si="2"/>
        <v>0</v>
      </c>
      <c r="F68" s="1938">
        <f t="shared" si="1"/>
        <v>0</v>
      </c>
      <c r="G68" s="1793">
        <f t="shared" si="3"/>
        <v>0</v>
      </c>
    </row>
    <row r="69" spans="1:7" x14ac:dyDescent="0.25">
      <c r="A69" s="1653"/>
      <c r="B69" s="1667"/>
      <c r="C69" s="1654"/>
      <c r="D69" s="1844"/>
      <c r="E69" s="1540">
        <f t="shared" si="2"/>
        <v>0</v>
      </c>
      <c r="F69" s="1938">
        <f t="shared" si="1"/>
        <v>0</v>
      </c>
      <c r="G69" s="1793">
        <f t="shared" si="3"/>
        <v>0</v>
      </c>
    </row>
    <row r="70" spans="1:7" x14ac:dyDescent="0.25">
      <c r="A70" s="1653"/>
      <c r="B70" s="1667"/>
      <c r="C70" s="1654"/>
      <c r="D70" s="1844"/>
      <c r="E70" s="1540">
        <f t="shared" si="2"/>
        <v>0</v>
      </c>
      <c r="F70" s="1938">
        <f t="shared" si="1"/>
        <v>0</v>
      </c>
      <c r="G70" s="1793">
        <f t="shared" si="3"/>
        <v>0</v>
      </c>
    </row>
    <row r="71" spans="1:7" x14ac:dyDescent="0.25">
      <c r="A71" s="1653"/>
      <c r="B71" s="1667"/>
      <c r="C71" s="1654"/>
      <c r="D71" s="1844"/>
      <c r="E71" s="1540">
        <f t="shared" si="2"/>
        <v>0</v>
      </c>
      <c r="F71" s="1938">
        <f t="shared" si="1"/>
        <v>0</v>
      </c>
      <c r="G71" s="1793">
        <f t="shared" si="3"/>
        <v>0</v>
      </c>
    </row>
    <row r="72" spans="1:7" x14ac:dyDescent="0.25">
      <c r="A72" s="1653"/>
      <c r="B72" s="1667"/>
      <c r="C72" s="1654"/>
      <c r="D72" s="1844"/>
      <c r="E72" s="1540">
        <f t="shared" si="2"/>
        <v>0</v>
      </c>
      <c r="F72" s="1938">
        <f t="shared" si="1"/>
        <v>0</v>
      </c>
      <c r="G72" s="1793">
        <f t="shared" si="3"/>
        <v>0</v>
      </c>
    </row>
    <row r="73" spans="1:7" x14ac:dyDescent="0.25">
      <c r="A73" s="1653"/>
      <c r="B73" s="1667"/>
      <c r="C73" s="1654"/>
      <c r="D73" s="1844"/>
      <c r="E73" s="1540">
        <f t="shared" si="2"/>
        <v>0</v>
      </c>
      <c r="F73" s="1938">
        <f t="shared" si="1"/>
        <v>0</v>
      </c>
      <c r="G73" s="1793">
        <f t="shared" si="3"/>
        <v>0</v>
      </c>
    </row>
    <row r="74" spans="1:7" x14ac:dyDescent="0.25">
      <c r="A74" s="1653"/>
      <c r="B74" s="1667"/>
      <c r="C74" s="1654"/>
      <c r="D74" s="1844"/>
      <c r="E74" s="1540">
        <f t="shared" ref="E74:E85" si="4">IF(D74&lt;=25000,D74,IF(D74&gt;25000,25000,0))</f>
        <v>0</v>
      </c>
      <c r="F74" s="1938">
        <f t="shared" si="1"/>
        <v>0</v>
      </c>
      <c r="G74" s="1793">
        <f t="shared" ref="G74:G85" si="5">IF(F74=0,0,D74-F74)</f>
        <v>0</v>
      </c>
    </row>
    <row r="75" spans="1:7" x14ac:dyDescent="0.25">
      <c r="A75" s="1653"/>
      <c r="B75" s="1667"/>
      <c r="C75" s="1654"/>
      <c r="D75" s="1844"/>
      <c r="E75" s="1540">
        <f t="shared" si="4"/>
        <v>0</v>
      </c>
      <c r="F75" s="1938">
        <f t="shared" si="1"/>
        <v>0</v>
      </c>
      <c r="G75" s="1793">
        <f t="shared" si="5"/>
        <v>0</v>
      </c>
    </row>
    <row r="76" spans="1:7" x14ac:dyDescent="0.25">
      <c r="A76" s="1653"/>
      <c r="B76" s="1667"/>
      <c r="C76" s="1654"/>
      <c r="D76" s="1844"/>
      <c r="E76" s="1540">
        <f t="shared" si="4"/>
        <v>0</v>
      </c>
      <c r="F76" s="1938">
        <f t="shared" si="1"/>
        <v>0</v>
      </c>
      <c r="G76" s="1793">
        <f t="shared" si="5"/>
        <v>0</v>
      </c>
    </row>
    <row r="77" spans="1:7" x14ac:dyDescent="0.25">
      <c r="A77" s="1653"/>
      <c r="B77" s="1667"/>
      <c r="C77" s="1654"/>
      <c r="D77" s="1844"/>
      <c r="E77" s="1540">
        <f t="shared" si="4"/>
        <v>0</v>
      </c>
      <c r="F77" s="1938">
        <f t="shared" si="1"/>
        <v>0</v>
      </c>
      <c r="G77" s="1793">
        <f t="shared" si="5"/>
        <v>0</v>
      </c>
    </row>
    <row r="78" spans="1:7" x14ac:dyDescent="0.25">
      <c r="A78" s="1653"/>
      <c r="B78" s="1667"/>
      <c r="C78" s="1654"/>
      <c r="D78" s="1844"/>
      <c r="E78" s="1540">
        <f t="shared" si="4"/>
        <v>0</v>
      </c>
      <c r="F78" s="1938">
        <f t="shared" si="1"/>
        <v>0</v>
      </c>
      <c r="G78" s="1793">
        <f t="shared" si="5"/>
        <v>0</v>
      </c>
    </row>
    <row r="79" spans="1:7" x14ac:dyDescent="0.25">
      <c r="A79" s="1653"/>
      <c r="B79" s="1667"/>
      <c r="C79" s="1654"/>
      <c r="D79" s="1844"/>
      <c r="E79" s="1540">
        <f t="shared" si="4"/>
        <v>0</v>
      </c>
      <c r="F79" s="1938">
        <f t="shared" si="1"/>
        <v>0</v>
      </c>
      <c r="G79" s="1793">
        <f t="shared" si="5"/>
        <v>0</v>
      </c>
    </row>
    <row r="80" spans="1:7" x14ac:dyDescent="0.25">
      <c r="A80" s="1653"/>
      <c r="B80" s="1667"/>
      <c r="C80" s="1654"/>
      <c r="D80" s="1844"/>
      <c r="E80" s="1540">
        <f t="shared" si="4"/>
        <v>0</v>
      </c>
      <c r="F80" s="1938">
        <f t="shared" si="1"/>
        <v>0</v>
      </c>
      <c r="G80" s="1793">
        <f t="shared" si="5"/>
        <v>0</v>
      </c>
    </row>
    <row r="81" spans="1:7" x14ac:dyDescent="0.25">
      <c r="A81" s="1653"/>
      <c r="B81" s="1667"/>
      <c r="C81" s="1654"/>
      <c r="D81" s="1844"/>
      <c r="E81" s="1540">
        <f t="shared" si="4"/>
        <v>0</v>
      </c>
      <c r="F81" s="1938">
        <f t="shared" si="1"/>
        <v>0</v>
      </c>
      <c r="G81" s="1793">
        <f t="shared" si="5"/>
        <v>0</v>
      </c>
    </row>
    <row r="82" spans="1:7" x14ac:dyDescent="0.25">
      <c r="A82" s="1653"/>
      <c r="B82" s="1667"/>
      <c r="C82" s="1654"/>
      <c r="D82" s="1844"/>
      <c r="E82" s="1540">
        <f t="shared" si="4"/>
        <v>0</v>
      </c>
      <c r="F82" s="1938">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8">
        <f t="shared" si="6"/>
        <v>0</v>
      </c>
      <c r="G83" s="1793">
        <f t="shared" si="5"/>
        <v>0</v>
      </c>
    </row>
    <row r="84" spans="1:7" x14ac:dyDescent="0.25">
      <c r="A84" s="1653"/>
      <c r="B84" s="1667"/>
      <c r="C84" s="1654"/>
      <c r="D84" s="1844"/>
      <c r="E84" s="1540">
        <f t="shared" si="4"/>
        <v>0</v>
      </c>
      <c r="F84" s="1938">
        <f t="shared" si="6"/>
        <v>0</v>
      </c>
      <c r="G84" s="1793">
        <f t="shared" si="5"/>
        <v>0</v>
      </c>
    </row>
    <row r="85" spans="1:7" x14ac:dyDescent="0.25">
      <c r="A85" s="1653"/>
      <c r="B85" s="1667"/>
      <c r="C85" s="1654"/>
      <c r="D85" s="1844"/>
      <c r="E85" s="1540">
        <f t="shared" si="4"/>
        <v>0</v>
      </c>
      <c r="F85" s="1938">
        <f t="shared" si="6"/>
        <v>0</v>
      </c>
      <c r="G85" s="1793">
        <f t="shared" si="5"/>
        <v>0</v>
      </c>
    </row>
    <row r="86" spans="1:7" x14ac:dyDescent="0.25">
      <c r="A86" s="1653"/>
      <c r="B86" s="1667"/>
      <c r="C86" s="1654"/>
      <c r="D86" s="1844"/>
      <c r="E86" s="1540">
        <f t="shared" si="2"/>
        <v>0</v>
      </c>
      <c r="F86" s="1938">
        <f t="shared" si="6"/>
        <v>0</v>
      </c>
      <c r="G86" s="1793">
        <f t="shared" si="3"/>
        <v>0</v>
      </c>
    </row>
    <row r="87" spans="1:7" x14ac:dyDescent="0.25">
      <c r="A87" s="1653"/>
      <c r="B87" s="1667"/>
      <c r="C87" s="1654"/>
      <c r="D87" s="1844"/>
      <c r="E87" s="1540">
        <f t="shared" si="2"/>
        <v>0</v>
      </c>
      <c r="F87" s="1938">
        <f t="shared" si="6"/>
        <v>0</v>
      </c>
      <c r="G87" s="1793">
        <f t="shared" si="3"/>
        <v>0</v>
      </c>
    </row>
    <row r="88" spans="1:7" x14ac:dyDescent="0.25">
      <c r="A88" s="1653"/>
      <c r="B88" s="1667"/>
      <c r="C88" s="1654"/>
      <c r="D88" s="1844"/>
      <c r="E88" s="1540">
        <f t="shared" si="2"/>
        <v>0</v>
      </c>
      <c r="F88" s="1938">
        <f t="shared" si="6"/>
        <v>0</v>
      </c>
      <c r="G88" s="1793">
        <f t="shared" si="3"/>
        <v>0</v>
      </c>
    </row>
    <row r="89" spans="1:7" x14ac:dyDescent="0.25">
      <c r="A89" s="1653"/>
      <c r="B89" s="1667"/>
      <c r="C89" s="1654"/>
      <c r="D89" s="1844"/>
      <c r="E89" s="1540">
        <f t="shared" si="2"/>
        <v>0</v>
      </c>
      <c r="F89" s="1938">
        <f t="shared" si="6"/>
        <v>0</v>
      </c>
      <c r="G89" s="1793">
        <f t="shared" si="3"/>
        <v>0</v>
      </c>
    </row>
    <row r="90" spans="1:7" x14ac:dyDescent="0.25">
      <c r="A90" s="1653"/>
      <c r="B90" s="1667"/>
      <c r="C90" s="1654"/>
      <c r="D90" s="1844"/>
      <c r="E90" s="1540">
        <f t="shared" si="2"/>
        <v>0</v>
      </c>
      <c r="F90" s="1938">
        <f t="shared" si="6"/>
        <v>0</v>
      </c>
      <c r="G90" s="1793">
        <f t="shared" si="3"/>
        <v>0</v>
      </c>
    </row>
    <row r="91" spans="1:7" x14ac:dyDescent="0.25">
      <c r="A91" s="1653"/>
      <c r="B91" s="1667"/>
      <c r="C91" s="1654"/>
      <c r="D91" s="1844"/>
      <c r="E91" s="1540">
        <f t="shared" si="2"/>
        <v>0</v>
      </c>
      <c r="F91" s="1938">
        <f t="shared" si="6"/>
        <v>0</v>
      </c>
      <c r="G91" s="1793">
        <f t="shared" si="3"/>
        <v>0</v>
      </c>
    </row>
    <row r="92" spans="1:7" x14ac:dyDescent="0.25">
      <c r="A92" s="1653"/>
      <c r="B92" s="1667"/>
      <c r="C92" s="1654"/>
      <c r="D92" s="1844"/>
      <c r="E92" s="1540">
        <f t="shared" si="2"/>
        <v>0</v>
      </c>
      <c r="F92" s="1938">
        <f t="shared" si="6"/>
        <v>0</v>
      </c>
      <c r="G92" s="1793">
        <f t="shared" si="3"/>
        <v>0</v>
      </c>
    </row>
    <row r="93" spans="1:7" x14ac:dyDescent="0.25">
      <c r="A93" s="1653"/>
      <c r="B93" s="1667"/>
      <c r="C93" s="1654"/>
      <c r="D93" s="1844"/>
      <c r="E93" s="1540">
        <f t="shared" si="2"/>
        <v>0</v>
      </c>
      <c r="F93" s="1938">
        <f t="shared" si="6"/>
        <v>0</v>
      </c>
      <c r="G93" s="1793">
        <f t="shared" si="3"/>
        <v>0</v>
      </c>
    </row>
    <row r="94" spans="1:7" x14ac:dyDescent="0.25">
      <c r="A94" s="1653"/>
      <c r="B94" s="1667"/>
      <c r="C94" s="1654"/>
      <c r="D94" s="1844"/>
      <c r="E94" s="1540">
        <f t="shared" ref="E94" si="7">IF(D94&lt;=25000,D94,IF(D94&gt;25000,25000,0))</f>
        <v>0</v>
      </c>
      <c r="F94" s="1938">
        <f t="shared" si="6"/>
        <v>0</v>
      </c>
      <c r="G94" s="1793">
        <f t="shared" ref="G94" si="8">IF(F94=0,0,D94-F94)</f>
        <v>0</v>
      </c>
    </row>
    <row r="95" spans="1:7" x14ac:dyDescent="0.25">
      <c r="A95" s="1653"/>
      <c r="B95" s="1667"/>
      <c r="C95" s="1654"/>
      <c r="D95" s="1844"/>
      <c r="E95" s="1540">
        <f t="shared" si="2"/>
        <v>0</v>
      </c>
      <c r="F95" s="1938">
        <f t="shared" si="6"/>
        <v>0</v>
      </c>
      <c r="G95" s="1793">
        <f t="shared" si="3"/>
        <v>0</v>
      </c>
    </row>
    <row r="96" spans="1:7" x14ac:dyDescent="0.25">
      <c r="A96" s="1653"/>
      <c r="B96" s="1667"/>
      <c r="C96" s="1654"/>
      <c r="D96" s="1844"/>
      <c r="E96" s="1540">
        <f t="shared" ref="E96:E99" si="9">IF(D96&lt;=25000,D96,IF(D96&gt;25000,25000,0))</f>
        <v>0</v>
      </c>
      <c r="F96" s="1938">
        <f t="shared" si="6"/>
        <v>0</v>
      </c>
      <c r="G96" s="1793">
        <f t="shared" ref="G96:G99" si="10">IF(F96=0,0,D96-F96)</f>
        <v>0</v>
      </c>
    </row>
    <row r="97" spans="1:7" x14ac:dyDescent="0.25">
      <c r="A97" s="1653"/>
      <c r="B97" s="1667"/>
      <c r="C97" s="1654"/>
      <c r="D97" s="1844"/>
      <c r="E97" s="1540">
        <f t="shared" si="9"/>
        <v>0</v>
      </c>
      <c r="F97" s="1938">
        <f t="shared" si="6"/>
        <v>0</v>
      </c>
      <c r="G97" s="1793">
        <f t="shared" si="10"/>
        <v>0</v>
      </c>
    </row>
    <row r="98" spans="1:7" x14ac:dyDescent="0.25">
      <c r="A98" s="1653"/>
      <c r="B98" s="1667"/>
      <c r="C98" s="1654"/>
      <c r="D98" s="1844"/>
      <c r="E98" s="1540">
        <f t="shared" si="9"/>
        <v>0</v>
      </c>
      <c r="F98" s="1938">
        <f t="shared" si="6"/>
        <v>0</v>
      </c>
      <c r="G98" s="1793">
        <f t="shared" si="10"/>
        <v>0</v>
      </c>
    </row>
    <row r="99" spans="1:7" x14ac:dyDescent="0.25">
      <c r="A99" s="1653"/>
      <c r="B99" s="1667"/>
      <c r="C99" s="1654"/>
      <c r="D99" s="1844"/>
      <c r="E99" s="1540">
        <f t="shared" si="9"/>
        <v>0</v>
      </c>
      <c r="F99" s="1938">
        <f t="shared" si="6"/>
        <v>0</v>
      </c>
      <c r="G99" s="1793">
        <f t="shared" si="10"/>
        <v>0</v>
      </c>
    </row>
    <row r="100" spans="1:7" x14ac:dyDescent="0.25">
      <c r="A100" s="1653"/>
      <c r="B100" s="1667"/>
      <c r="C100" s="1654"/>
      <c r="D100" s="1844"/>
      <c r="E100" s="1540">
        <f t="shared" ref="E100" si="11">IF(D100&lt;=25000,D100,IF(D100&gt;25000,25000,0))</f>
        <v>0</v>
      </c>
      <c r="F100" s="1938">
        <f t="shared" si="6"/>
        <v>0</v>
      </c>
      <c r="G100" s="1793">
        <f t="shared" ref="G100" si="12">IF(F100=0,0,D100-F100)</f>
        <v>0</v>
      </c>
    </row>
    <row r="101" spans="1:7" x14ac:dyDescent="0.25">
      <c r="A101" s="1653"/>
      <c r="B101" s="1667"/>
      <c r="C101" s="1654"/>
      <c r="D101" s="1844"/>
      <c r="E101" s="1540">
        <f t="shared" ref="E101:E113" si="13">IF(D101&lt;=25000,D101,IF(D101&gt;25000,25000,0))</f>
        <v>0</v>
      </c>
      <c r="F101" s="1938">
        <f t="shared" si="6"/>
        <v>0</v>
      </c>
      <c r="G101" s="1793">
        <f t="shared" ref="G101:G113" si="14">IF(F101=0,0,D101-F101)</f>
        <v>0</v>
      </c>
    </row>
    <row r="102" spans="1:7" x14ac:dyDescent="0.25">
      <c r="A102" s="1653"/>
      <c r="B102" s="1667"/>
      <c r="C102" s="1654"/>
      <c r="D102" s="1844"/>
      <c r="E102" s="1540">
        <f t="shared" si="13"/>
        <v>0</v>
      </c>
      <c r="F102" s="1938">
        <f t="shared" si="6"/>
        <v>0</v>
      </c>
      <c r="G102" s="1793">
        <f t="shared" si="14"/>
        <v>0</v>
      </c>
    </row>
    <row r="103" spans="1:7" x14ac:dyDescent="0.25">
      <c r="A103" s="1653"/>
      <c r="B103" s="1667"/>
      <c r="C103" s="1654"/>
      <c r="D103" s="1844"/>
      <c r="E103" s="1540">
        <f t="shared" si="13"/>
        <v>0</v>
      </c>
      <c r="F103" s="1938">
        <f t="shared" si="6"/>
        <v>0</v>
      </c>
      <c r="G103" s="1793">
        <f t="shared" si="14"/>
        <v>0</v>
      </c>
    </row>
    <row r="104" spans="1:7" x14ac:dyDescent="0.25">
      <c r="A104" s="1653"/>
      <c r="B104" s="1667"/>
      <c r="C104" s="1654"/>
      <c r="D104" s="1844"/>
      <c r="E104" s="1540">
        <f t="shared" si="13"/>
        <v>0</v>
      </c>
      <c r="F104" s="1938">
        <f t="shared" si="6"/>
        <v>0</v>
      </c>
      <c r="G104" s="1793">
        <f t="shared" si="14"/>
        <v>0</v>
      </c>
    </row>
    <row r="105" spans="1:7" x14ac:dyDescent="0.25">
      <c r="A105" s="1653"/>
      <c r="B105" s="1667"/>
      <c r="C105" s="1654"/>
      <c r="D105" s="1844"/>
      <c r="E105" s="1540">
        <f t="shared" si="13"/>
        <v>0</v>
      </c>
      <c r="F105" s="1938">
        <f t="shared" si="6"/>
        <v>0</v>
      </c>
      <c r="G105" s="1793">
        <f t="shared" si="14"/>
        <v>0</v>
      </c>
    </row>
    <row r="106" spans="1:7" x14ac:dyDescent="0.25">
      <c r="A106" s="1653"/>
      <c r="B106" s="1667"/>
      <c r="C106" s="1654"/>
      <c r="D106" s="1844"/>
      <c r="E106" s="1540">
        <f t="shared" si="13"/>
        <v>0</v>
      </c>
      <c r="F106" s="1938">
        <f t="shared" si="6"/>
        <v>0</v>
      </c>
      <c r="G106" s="1793">
        <f t="shared" si="14"/>
        <v>0</v>
      </c>
    </row>
    <row r="107" spans="1:7" x14ac:dyDescent="0.25">
      <c r="A107" s="1653"/>
      <c r="B107" s="1667"/>
      <c r="C107" s="1654"/>
      <c r="D107" s="1844"/>
      <c r="E107" s="1540">
        <f t="shared" si="13"/>
        <v>0</v>
      </c>
      <c r="F107" s="1938">
        <f t="shared" si="6"/>
        <v>0</v>
      </c>
      <c r="G107" s="1793">
        <f t="shared" si="14"/>
        <v>0</v>
      </c>
    </row>
    <row r="108" spans="1:7" x14ac:dyDescent="0.25">
      <c r="A108" s="1653"/>
      <c r="B108" s="1667"/>
      <c r="C108" s="1654"/>
      <c r="D108" s="1844"/>
      <c r="E108" s="1540">
        <f t="shared" si="13"/>
        <v>0</v>
      </c>
      <c r="F108" s="1938">
        <f t="shared" si="6"/>
        <v>0</v>
      </c>
      <c r="G108" s="1793">
        <f t="shared" si="14"/>
        <v>0</v>
      </c>
    </row>
    <row r="109" spans="1:7" x14ac:dyDescent="0.25">
      <c r="A109" s="1653"/>
      <c r="B109" s="1667"/>
      <c r="C109" s="1654"/>
      <c r="D109" s="1844"/>
      <c r="E109" s="1540">
        <f t="shared" si="13"/>
        <v>0</v>
      </c>
      <c r="F109" s="1938">
        <f t="shared" si="6"/>
        <v>0</v>
      </c>
      <c r="G109" s="1793">
        <f t="shared" si="14"/>
        <v>0</v>
      </c>
    </row>
    <row r="110" spans="1:7" x14ac:dyDescent="0.25">
      <c r="A110" s="1653"/>
      <c r="B110" s="1667"/>
      <c r="C110" s="1654"/>
      <c r="D110" s="1844"/>
      <c r="E110" s="1540">
        <f t="shared" si="13"/>
        <v>0</v>
      </c>
      <c r="F110" s="1938">
        <f t="shared" si="6"/>
        <v>0</v>
      </c>
      <c r="G110" s="1793">
        <f t="shared" si="14"/>
        <v>0</v>
      </c>
    </row>
    <row r="111" spans="1:7" x14ac:dyDescent="0.25">
      <c r="A111" s="1653"/>
      <c r="B111" s="1667"/>
      <c r="C111" s="1654"/>
      <c r="D111" s="1844"/>
      <c r="E111" s="1540">
        <f t="shared" si="13"/>
        <v>0</v>
      </c>
      <c r="F111" s="1938">
        <f t="shared" si="6"/>
        <v>0</v>
      </c>
      <c r="G111" s="1793">
        <f t="shared" si="14"/>
        <v>0</v>
      </c>
    </row>
    <row r="112" spans="1:7" x14ac:dyDescent="0.25">
      <c r="A112" s="1653"/>
      <c r="B112" s="1667"/>
      <c r="C112" s="1654"/>
      <c r="D112" s="1844"/>
      <c r="E112" s="1540">
        <f t="shared" si="13"/>
        <v>0</v>
      </c>
      <c r="F112" s="1938">
        <f t="shared" si="6"/>
        <v>0</v>
      </c>
      <c r="G112" s="1793">
        <f t="shared" si="14"/>
        <v>0</v>
      </c>
    </row>
    <row r="113" spans="1:7" x14ac:dyDescent="0.25">
      <c r="A113" s="1653"/>
      <c r="B113" s="1667"/>
      <c r="C113" s="1654"/>
      <c r="D113" s="1844"/>
      <c r="E113" s="1540">
        <f t="shared" si="13"/>
        <v>0</v>
      </c>
      <c r="F113" s="1938">
        <f t="shared" si="6"/>
        <v>0</v>
      </c>
      <c r="G113" s="1793">
        <f t="shared" si="14"/>
        <v>0</v>
      </c>
    </row>
    <row r="114" spans="1:7" x14ac:dyDescent="0.25">
      <c r="A114" s="1653"/>
      <c r="B114" s="1667"/>
      <c r="C114" s="1654"/>
      <c r="D114" s="1844"/>
      <c r="E114" s="1540">
        <f t="shared" ref="E114:E126" si="15">IF(D114&lt;=25000,D114,IF(D114&gt;25000,25000,0))</f>
        <v>0</v>
      </c>
      <c r="F114" s="1938">
        <f t="shared" si="6"/>
        <v>0</v>
      </c>
      <c r="G114" s="1793">
        <f t="shared" ref="G114:G126" si="16">IF(F114=0,0,D114-F114)</f>
        <v>0</v>
      </c>
    </row>
    <row r="115" spans="1:7" x14ac:dyDescent="0.25">
      <c r="A115" s="1653"/>
      <c r="B115" s="1667"/>
      <c r="C115" s="1654"/>
      <c r="D115" s="1844"/>
      <c r="E115" s="1540">
        <f t="shared" si="15"/>
        <v>0</v>
      </c>
      <c r="F115" s="1938">
        <f t="shared" si="6"/>
        <v>0</v>
      </c>
      <c r="G115" s="1793">
        <f t="shared" si="16"/>
        <v>0</v>
      </c>
    </row>
    <row r="116" spans="1:7" x14ac:dyDescent="0.25">
      <c r="A116" s="1653"/>
      <c r="B116" s="1667"/>
      <c r="C116" s="1654"/>
      <c r="D116" s="1844"/>
      <c r="E116" s="1540">
        <f t="shared" si="15"/>
        <v>0</v>
      </c>
      <c r="F116" s="1938">
        <f t="shared" si="6"/>
        <v>0</v>
      </c>
      <c r="G116" s="1793">
        <f t="shared" si="16"/>
        <v>0</v>
      </c>
    </row>
    <row r="117" spans="1:7" x14ac:dyDescent="0.25">
      <c r="A117" s="1653"/>
      <c r="B117" s="1667"/>
      <c r="C117" s="1654"/>
      <c r="D117" s="1844"/>
      <c r="E117" s="1540">
        <f t="shared" si="15"/>
        <v>0</v>
      </c>
      <c r="F117" s="1938">
        <f t="shared" si="6"/>
        <v>0</v>
      </c>
      <c r="G117" s="1793">
        <f t="shared" si="16"/>
        <v>0</v>
      </c>
    </row>
    <row r="118" spans="1:7" x14ac:dyDescent="0.25">
      <c r="A118" s="1653"/>
      <c r="B118" s="1667"/>
      <c r="C118" s="1654"/>
      <c r="D118" s="1844"/>
      <c r="E118" s="1540">
        <f t="shared" si="15"/>
        <v>0</v>
      </c>
      <c r="F118" s="1938">
        <f t="shared" si="6"/>
        <v>0</v>
      </c>
      <c r="G118" s="1793">
        <f t="shared" si="16"/>
        <v>0</v>
      </c>
    </row>
    <row r="119" spans="1:7" x14ac:dyDescent="0.25">
      <c r="A119" s="1653"/>
      <c r="B119" s="1667"/>
      <c r="C119" s="1654"/>
      <c r="D119" s="1844"/>
      <c r="E119" s="1540">
        <f t="shared" si="15"/>
        <v>0</v>
      </c>
      <c r="F119" s="1938">
        <f t="shared" si="6"/>
        <v>0</v>
      </c>
      <c r="G119" s="1793">
        <f t="shared" si="16"/>
        <v>0</v>
      </c>
    </row>
    <row r="120" spans="1:7" x14ac:dyDescent="0.25">
      <c r="A120" s="1653"/>
      <c r="B120" s="1667"/>
      <c r="C120" s="1654"/>
      <c r="D120" s="1844"/>
      <c r="E120" s="1540">
        <f t="shared" si="15"/>
        <v>0</v>
      </c>
      <c r="F120" s="1938">
        <f t="shared" si="6"/>
        <v>0</v>
      </c>
      <c r="G120" s="1793">
        <f t="shared" si="16"/>
        <v>0</v>
      </c>
    </row>
    <row r="121" spans="1:7" x14ac:dyDescent="0.25">
      <c r="A121" s="1653"/>
      <c r="B121" s="1667"/>
      <c r="C121" s="1654"/>
      <c r="D121" s="1844"/>
      <c r="E121" s="1540">
        <f t="shared" si="15"/>
        <v>0</v>
      </c>
      <c r="F121" s="1938">
        <f t="shared" si="6"/>
        <v>0</v>
      </c>
      <c r="G121" s="1793">
        <f t="shared" si="16"/>
        <v>0</v>
      </c>
    </row>
    <row r="122" spans="1:7" x14ac:dyDescent="0.25">
      <c r="A122" s="1653"/>
      <c r="B122" s="1667"/>
      <c r="C122" s="1654"/>
      <c r="D122" s="1844"/>
      <c r="E122" s="1540">
        <f t="shared" si="15"/>
        <v>0</v>
      </c>
      <c r="F122" s="1938">
        <f t="shared" si="6"/>
        <v>0</v>
      </c>
      <c r="G122" s="1793">
        <f t="shared" si="16"/>
        <v>0</v>
      </c>
    </row>
    <row r="123" spans="1:7" x14ac:dyDescent="0.25">
      <c r="A123" s="1653"/>
      <c r="B123" s="1667"/>
      <c r="C123" s="1654"/>
      <c r="D123" s="1844"/>
      <c r="E123" s="1540">
        <f t="shared" si="15"/>
        <v>0</v>
      </c>
      <c r="F123" s="1938">
        <f t="shared" si="6"/>
        <v>0</v>
      </c>
      <c r="G123" s="1793">
        <f t="shared" si="16"/>
        <v>0</v>
      </c>
    </row>
    <row r="124" spans="1:7" x14ac:dyDescent="0.25">
      <c r="A124" s="1653"/>
      <c r="B124" s="1667"/>
      <c r="C124" s="1654"/>
      <c r="D124" s="1844"/>
      <c r="E124" s="1540">
        <f t="shared" si="15"/>
        <v>0</v>
      </c>
      <c r="F124" s="1938">
        <f t="shared" si="6"/>
        <v>0</v>
      </c>
      <c r="G124" s="1793">
        <f t="shared" si="16"/>
        <v>0</v>
      </c>
    </row>
    <row r="125" spans="1:7" x14ac:dyDescent="0.25">
      <c r="A125" s="1653"/>
      <c r="B125" s="1667"/>
      <c r="C125" s="1654"/>
      <c r="D125" s="1844"/>
      <c r="E125" s="1540">
        <f t="shared" si="15"/>
        <v>0</v>
      </c>
      <c r="F125" s="1938">
        <f t="shared" si="6"/>
        <v>0</v>
      </c>
      <c r="G125" s="1793">
        <f t="shared" si="16"/>
        <v>0</v>
      </c>
    </row>
    <row r="126" spans="1:7" x14ac:dyDescent="0.25">
      <c r="A126" s="1653"/>
      <c r="B126" s="1667"/>
      <c r="C126" s="1654"/>
      <c r="D126" s="1844"/>
      <c r="E126" s="1540">
        <f t="shared" si="15"/>
        <v>0</v>
      </c>
      <c r="F126" s="1938">
        <f t="shared" si="6"/>
        <v>0</v>
      </c>
      <c r="G126" s="1793">
        <f t="shared" si="16"/>
        <v>0</v>
      </c>
    </row>
    <row r="127" spans="1:7" x14ac:dyDescent="0.25">
      <c r="A127" s="1653"/>
      <c r="B127" s="1667"/>
      <c r="C127" s="1654"/>
      <c r="D127" s="1844"/>
      <c r="E127" s="1540">
        <f t="shared" ref="E127:E135" si="17">IF(D127&lt;=25000,D127,IF(D127&gt;25000,25000,0))</f>
        <v>0</v>
      </c>
      <c r="F127" s="1938">
        <f t="shared" si="6"/>
        <v>0</v>
      </c>
      <c r="G127" s="1793">
        <f t="shared" ref="G127:G135" si="18">IF(F127=0,0,D127-F127)</f>
        <v>0</v>
      </c>
    </row>
    <row r="128" spans="1:7" x14ac:dyDescent="0.25">
      <c r="A128" s="1653"/>
      <c r="B128" s="1667"/>
      <c r="C128" s="1654"/>
      <c r="D128" s="1844"/>
      <c r="E128" s="1540">
        <f t="shared" si="17"/>
        <v>0</v>
      </c>
      <c r="F128" s="1938">
        <f t="shared" si="6"/>
        <v>0</v>
      </c>
      <c r="G128" s="1793">
        <f t="shared" si="18"/>
        <v>0</v>
      </c>
    </row>
    <row r="129" spans="1:7" x14ac:dyDescent="0.25">
      <c r="A129" s="1653"/>
      <c r="B129" s="1667"/>
      <c r="C129" s="1654"/>
      <c r="D129" s="1844"/>
      <c r="E129" s="1540">
        <f t="shared" si="17"/>
        <v>0</v>
      </c>
      <c r="F129" s="1938">
        <f t="shared" si="6"/>
        <v>0</v>
      </c>
      <c r="G129" s="1793">
        <f t="shared" si="18"/>
        <v>0</v>
      </c>
    </row>
    <row r="130" spans="1:7" x14ac:dyDescent="0.25">
      <c r="A130" s="1653"/>
      <c r="B130" s="1667"/>
      <c r="C130" s="1654"/>
      <c r="D130" s="1844"/>
      <c r="E130" s="1540">
        <f t="shared" si="17"/>
        <v>0</v>
      </c>
      <c r="F130" s="1938">
        <f t="shared" si="6"/>
        <v>0</v>
      </c>
      <c r="G130" s="1793">
        <f t="shared" si="18"/>
        <v>0</v>
      </c>
    </row>
    <row r="131" spans="1:7" x14ac:dyDescent="0.25">
      <c r="A131" s="1653"/>
      <c r="B131" s="1667"/>
      <c r="C131" s="1654"/>
      <c r="D131" s="1844"/>
      <c r="E131" s="1540">
        <f t="shared" si="17"/>
        <v>0</v>
      </c>
      <c r="F131" s="1938">
        <f t="shared" si="6"/>
        <v>0</v>
      </c>
      <c r="G131" s="1793">
        <f t="shared" si="18"/>
        <v>0</v>
      </c>
    </row>
    <row r="132" spans="1:7" x14ac:dyDescent="0.25">
      <c r="A132" s="1653"/>
      <c r="B132" s="1837"/>
      <c r="C132" s="1654"/>
      <c r="D132" s="1844"/>
      <c r="E132" s="1540">
        <f t="shared" si="17"/>
        <v>0</v>
      </c>
      <c r="F132" s="1938">
        <f t="shared" si="6"/>
        <v>0</v>
      </c>
      <c r="G132" s="1793">
        <f t="shared" si="18"/>
        <v>0</v>
      </c>
    </row>
    <row r="133" spans="1:7" x14ac:dyDescent="0.25">
      <c r="A133" s="1653"/>
      <c r="B133" s="1837"/>
      <c r="C133" s="1654"/>
      <c r="D133" s="1844"/>
      <c r="E133" s="1540">
        <f t="shared" si="17"/>
        <v>0</v>
      </c>
      <c r="F133" s="1938">
        <f t="shared" si="6"/>
        <v>0</v>
      </c>
      <c r="G133" s="1793">
        <f t="shared" si="18"/>
        <v>0</v>
      </c>
    </row>
    <row r="134" spans="1:7" x14ac:dyDescent="0.25">
      <c r="A134" s="1653"/>
      <c r="B134" s="1667"/>
      <c r="C134" s="1654"/>
      <c r="D134" s="1844"/>
      <c r="E134" s="1540">
        <f t="shared" si="17"/>
        <v>0</v>
      </c>
      <c r="F134" s="1938">
        <f t="shared" si="6"/>
        <v>0</v>
      </c>
      <c r="G134" s="1793">
        <f t="shared" si="18"/>
        <v>0</v>
      </c>
    </row>
    <row r="135" spans="1:7" x14ac:dyDescent="0.25">
      <c r="A135" s="1653"/>
      <c r="B135" s="1667"/>
      <c r="C135" s="1654"/>
      <c r="D135" s="1844"/>
      <c r="E135" s="1540">
        <f t="shared" si="17"/>
        <v>0</v>
      </c>
      <c r="F135" s="1938">
        <f t="shared" si="6"/>
        <v>0</v>
      </c>
      <c r="G135" s="1793">
        <f t="shared" si="18"/>
        <v>0</v>
      </c>
    </row>
    <row r="136" spans="1:7" x14ac:dyDescent="0.25">
      <c r="A136" s="1653"/>
      <c r="B136" s="1667"/>
      <c r="C136" s="1654"/>
      <c r="D136" s="1844"/>
      <c r="E136" s="1540">
        <f t="shared" ref="E136:E140" si="19">IF(D136&lt;=25000,D136,IF(D136&gt;25000,25000,0))</f>
        <v>0</v>
      </c>
      <c r="F136" s="1938">
        <f t="shared" si="6"/>
        <v>0</v>
      </c>
      <c r="G136" s="1793">
        <f t="shared" ref="G136:G140" si="20">IF(F136=0,0,D136-F136)</f>
        <v>0</v>
      </c>
    </row>
    <row r="137" spans="1:7" x14ac:dyDescent="0.25">
      <c r="A137" s="1653"/>
      <c r="B137" s="1667"/>
      <c r="C137" s="1654"/>
      <c r="D137" s="1844"/>
      <c r="E137" s="1540">
        <f t="shared" si="19"/>
        <v>0</v>
      </c>
      <c r="F137" s="1938">
        <f t="shared" si="6"/>
        <v>0</v>
      </c>
      <c r="G137" s="1793">
        <f t="shared" si="20"/>
        <v>0</v>
      </c>
    </row>
    <row r="138" spans="1:7" x14ac:dyDescent="0.25">
      <c r="A138" s="1653"/>
      <c r="B138" s="1667"/>
      <c r="C138" s="1654"/>
      <c r="D138" s="1844"/>
      <c r="E138" s="1540">
        <f t="shared" si="19"/>
        <v>0</v>
      </c>
      <c r="F138" s="1938">
        <f t="shared" si="6"/>
        <v>0</v>
      </c>
      <c r="G138" s="1793">
        <f t="shared" si="20"/>
        <v>0</v>
      </c>
    </row>
    <row r="139" spans="1:7" x14ac:dyDescent="0.25">
      <c r="A139" s="1653"/>
      <c r="B139" s="1667"/>
      <c r="C139" s="1654"/>
      <c r="D139" s="1844"/>
      <c r="E139" s="1540">
        <f t="shared" si="19"/>
        <v>0</v>
      </c>
      <c r="F139" s="1938">
        <f t="shared" si="6"/>
        <v>0</v>
      </c>
      <c r="G139" s="1793">
        <f t="shared" si="20"/>
        <v>0</v>
      </c>
    </row>
    <row r="140" spans="1:7" x14ac:dyDescent="0.25">
      <c r="A140" s="1653"/>
      <c r="B140" s="1667"/>
      <c r="C140" s="1654"/>
      <c r="D140" s="1844"/>
      <c r="E140" s="1540">
        <f t="shared" si="19"/>
        <v>0</v>
      </c>
      <c r="F140" s="1938">
        <f t="shared" si="6"/>
        <v>0</v>
      </c>
      <c r="G140" s="1793">
        <f t="shared" si="20"/>
        <v>0</v>
      </c>
    </row>
    <row r="141" spans="1:7" x14ac:dyDescent="0.25">
      <c r="A141" s="1653"/>
      <c r="B141" s="1666"/>
      <c r="C141" s="1654"/>
      <c r="D141" s="1844"/>
      <c r="E141" s="1540">
        <f t="shared" si="2"/>
        <v>0</v>
      </c>
      <c r="F141" s="1938">
        <f t="shared" si="6"/>
        <v>0</v>
      </c>
      <c r="G141" s="1793">
        <f t="shared" si="3"/>
        <v>0</v>
      </c>
    </row>
    <row r="142" spans="1:7" x14ac:dyDescent="0.25">
      <c r="A142" s="1796" t="s">
        <v>156</v>
      </c>
      <c r="B142" s="1797"/>
      <c r="C142" s="1798"/>
      <c r="D142" s="1794">
        <f>SUM(D18:D141)</f>
        <v>0</v>
      </c>
      <c r="E142" s="1541">
        <f t="shared" si="0"/>
        <v>0</v>
      </c>
      <c r="F142" s="1933">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1" colorId="8" zoomScale="110" zoomScaleNormal="110" workbookViewId="0">
      <selection activeCell="G48" sqref="G4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127255</v>
      </c>
      <c r="F19" s="1799"/>
      <c r="G19" s="1801">
        <f>'Expenditures 15-22'!K33-SUM('Expenditures 15-22'!G33,'Expenditures 15-22'!I33)+'Expenditures 15-22'!D229</f>
        <v>127255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2062</v>
      </c>
      <c r="F21" s="1802"/>
      <c r="G21" s="1805">
        <f>'Expenditures 15-22'!K42-SUM('Expenditures 15-22'!G42,'Expenditures 15-22'!I42)+'Expenditures 15-22'!K120-SUM('Expenditures 15-22'!G120,'Expenditures 15-22'!I120)+'Expenditures 15-22'!K180-SUM('Expenditures 15-22'!G180,'Expenditures 15-22'!I180)+'Expenditures 15-22'!D238</f>
        <v>2062</v>
      </c>
      <c r="H21" s="987"/>
      <c r="I21" s="162"/>
    </row>
    <row r="22" spans="1:9" s="668" customFormat="1" ht="12" customHeight="1" x14ac:dyDescent="0.2">
      <c r="A22" s="994" t="s">
        <v>564</v>
      </c>
      <c r="B22" s="995"/>
      <c r="C22" s="993">
        <v>2200</v>
      </c>
      <c r="D22" s="1802"/>
      <c r="E22" s="1804">
        <f>'Expenditures 15-22'!K47-SUM('Expenditures 15-22'!G47,'Expenditures 15-22'!I47)+'Expenditures 15-22'!D243</f>
        <v>15638</v>
      </c>
      <c r="F22" s="1802"/>
      <c r="G22" s="1805">
        <f>'Expenditures 15-22'!K47-SUM('Expenditures 15-22'!G47,'Expenditures 15-22'!I47)+'Expenditures 15-22'!D243</f>
        <v>15638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71702</v>
      </c>
      <c r="F23" s="1802"/>
      <c r="G23" s="1804">
        <f>'Expenditures 15-22'!K53-SUM('Expenditures 15-22'!G53,'Expenditures 15-22'!I53)+'Expenditures 15-22'!D257+'Expenditures 15-22'!K330-SUM('Expenditures 15-22'!G330,'Expenditures 15-22'!I330)</f>
        <v>71702</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-19</v>
      </c>
      <c r="E27" s="1804">
        <f>E8</f>
        <v>0</v>
      </c>
      <c r="F27" s="1804">
        <f>'Expenditures 15-22'!K60-SUM('Expenditures 15-22'!G60,'Expenditures 15-22'!I60)+'Expenditures 15-22'!D264-E8</f>
        <v>-19</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0</v>
      </c>
      <c r="F28" s="1806">
        <f>'Expenditures 15-22'!K61-SUM('Expenditures 15-22'!G61,'Expenditures 15-22'!I61)+'Expenditures 15-22'!K124-SUM('Expenditures 15-22'!G124,'Expenditures 15-22'!I124)+'Expenditures 15-22'!D266-E9</f>
        <v>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-19</v>
      </c>
      <c r="E41" s="1806">
        <f>SUM(E19:E40)</f>
        <v>216657</v>
      </c>
      <c r="F41" s="1806">
        <f>SUM(F19:F39)</f>
        <v>-19</v>
      </c>
      <c r="G41" s="1806">
        <f>SUM(G19:G40)</f>
        <v>216657</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-19</v>
      </c>
      <c r="F43" s="1807" t="s">
        <v>473</v>
      </c>
      <c r="G43" s="1808">
        <f>F41</f>
        <v>-19</v>
      </c>
    </row>
    <row r="44" spans="1:7" ht="12" customHeight="1" x14ac:dyDescent="0.2">
      <c r="A44" s="987"/>
      <c r="B44" s="162"/>
      <c r="C44" s="1001"/>
      <c r="D44" s="1807" t="s">
        <v>474</v>
      </c>
      <c r="E44" s="1808">
        <f>E41</f>
        <v>216657</v>
      </c>
      <c r="F44" s="1807" t="s">
        <v>474</v>
      </c>
      <c r="G44" s="1808">
        <f>G41</f>
        <v>216657</v>
      </c>
    </row>
    <row r="45" spans="1:7" ht="12" customHeight="1" x14ac:dyDescent="0.2">
      <c r="A45" s="987"/>
      <c r="B45" s="162"/>
      <c r="C45" s="162"/>
      <c r="D45" s="1809" t="s">
        <v>1006</v>
      </c>
      <c r="E45" s="1810">
        <f>(E43/E44)</f>
        <v>-8.7696220292905373E-5</v>
      </c>
      <c r="F45" s="1809" t="s">
        <v>1006</v>
      </c>
      <c r="G45" s="1810">
        <f>(G43/G44)</f>
        <v>-8.7696220292905373E-5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B9" sqref="B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5" t="s">
        <v>1379</v>
      </c>
      <c r="B1" s="2295"/>
      <c r="C1" s="2295"/>
      <c r="D1" s="2295"/>
      <c r="E1" s="2295"/>
      <c r="F1" s="2295"/>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Williamson Co CTE System</v>
      </c>
      <c r="D6" s="2299"/>
      <c r="E6" s="2299"/>
      <c r="F6" s="1852"/>
    </row>
    <row r="7" spans="1:10" ht="11.25" customHeight="1" thickBot="1" x14ac:dyDescent="0.3">
      <c r="A7" s="1850"/>
      <c r="B7" s="1851"/>
      <c r="C7" s="2300">
        <f>COVER!A13</f>
        <v>21100801046</v>
      </c>
      <c r="D7" s="2300"/>
      <c r="E7" s="2300"/>
      <c r="F7" s="1852"/>
    </row>
    <row r="8" spans="1:10" ht="25.5" customHeight="1" thickBot="1" x14ac:dyDescent="0.25">
      <c r="A8" s="1893" t="s">
        <v>1907</v>
      </c>
      <c r="B8" s="1853" t="s">
        <v>2065</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1"/>
      <c r="B42" s="2312"/>
      <c r="C42" s="2312"/>
      <c r="D42" s="2312"/>
      <c r="E42" s="2312"/>
      <c r="F42" s="2313"/>
      <c r="H42" s="1879"/>
      <c r="I42" s="1879"/>
      <c r="J42" s="1879"/>
      <c r="K42" s="1879"/>
    </row>
    <row r="43" spans="1:11" s="1870" customFormat="1" ht="15" x14ac:dyDescent="0.25">
      <c r="A43" s="2303"/>
      <c r="B43" s="2304"/>
      <c r="C43" s="2304"/>
      <c r="D43" s="2304"/>
      <c r="E43" s="2304"/>
      <c r="F43" s="2305"/>
      <c r="H43" s="1879"/>
      <c r="I43" s="1879"/>
      <c r="J43" s="1879"/>
      <c r="K43" s="1879"/>
    </row>
    <row r="44" spans="1:11" s="1870" customFormat="1" ht="12" hidden="1" customHeight="1" x14ac:dyDescent="0.25">
      <c r="A44" s="2303"/>
      <c r="B44" s="2304"/>
      <c r="C44" s="2304"/>
      <c r="D44" s="2304"/>
      <c r="E44" s="2304"/>
      <c r="F44" s="230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Williamson Co CTE System</v>
      </c>
      <c r="J6" s="2320"/>
      <c r="Q6" s="1664"/>
    </row>
    <row r="7" spans="1:17" x14ac:dyDescent="0.2">
      <c r="A7" s="2321" t="s">
        <v>869</v>
      </c>
      <c r="B7" s="2322"/>
      <c r="C7" s="2322"/>
      <c r="D7" s="2322"/>
      <c r="E7" s="2323"/>
      <c r="F7" s="1017"/>
      <c r="G7" s="1009"/>
      <c r="H7" s="1016" t="s">
        <v>372</v>
      </c>
      <c r="I7" s="2324">
        <f>COVER!A13</f>
        <v>21100801046</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71702</v>
      </c>
      <c r="F12" s="1039"/>
      <c r="G12" s="1811">
        <f t="shared" ref="G12:G18" si="0">SUM(E12:F12)</f>
        <v>71702</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71702</v>
      </c>
      <c r="F19" s="1813">
        <f t="shared" si="2"/>
        <v>0</v>
      </c>
      <c r="G19" s="1813">
        <f t="shared" si="2"/>
        <v>71702</v>
      </c>
      <c r="H19" s="1813">
        <f t="shared" si="2"/>
        <v>0</v>
      </c>
      <c r="I19" s="1813">
        <f t="shared" si="2"/>
        <v>0</v>
      </c>
      <c r="J19" s="1813">
        <f t="shared" si="2"/>
        <v>0</v>
      </c>
    </row>
    <row r="20" spans="1:10" ht="13.5" thickTop="1" x14ac:dyDescent="0.2">
      <c r="A20" s="1035">
        <v>9</v>
      </c>
      <c r="B20" s="2331" t="s">
        <v>1979</v>
      </c>
      <c r="C20" s="2331"/>
      <c r="D20" s="2332"/>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Williamson Co CTE System</v>
      </c>
    </row>
    <row r="65" spans="2:2" x14ac:dyDescent="0.2">
      <c r="B65" s="1070">
        <f>COVER!A13</f>
        <v>21100801046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36" sqref="B3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1609725</xdr:colOff>
                <xdr:row>1</xdr:row>
                <xdr:rowOff>152400</xdr:rowOff>
              </from>
              <to>
                <xdr:col>1</xdr:col>
                <xdr:colOff>2524125</xdr:colOff>
                <xdr:row>6</xdr:row>
                <xdr:rowOff>104775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238125</xdr:colOff>
                <xdr:row>2</xdr:row>
                <xdr:rowOff>38100</xdr:rowOff>
              </from>
              <to>
                <xdr:col>1</xdr:col>
                <xdr:colOff>1152525</xdr:colOff>
                <xdr:row>7</xdr:row>
                <xdr:rowOff>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454868</v>
      </c>
      <c r="C8" s="1815">
        <f>'Acct Summary 7-8'!D8</f>
        <v>0</v>
      </c>
      <c r="D8" s="1815">
        <f>'Acct Summary 7-8'!F8</f>
        <v>0</v>
      </c>
      <c r="E8" s="1815">
        <f>'Acct Summary 7-8'!I8</f>
        <v>0</v>
      </c>
      <c r="F8" s="1815">
        <f>SUM(B8:E8)</f>
        <v>454868</v>
      </c>
    </row>
    <row r="9" spans="1:8" s="1079" customFormat="1" ht="14.25" customHeight="1" thickBot="1" x14ac:dyDescent="0.25">
      <c r="A9" s="1078" t="s">
        <v>1369</v>
      </c>
      <c r="B9" s="1816">
        <f>'Acct Summary 7-8'!C17</f>
        <v>530900</v>
      </c>
      <c r="C9" s="1816">
        <f>'Acct Summary 7-8'!D17</f>
        <v>0</v>
      </c>
      <c r="D9" s="1816">
        <f>'Acct Summary 7-8'!F17</f>
        <v>0</v>
      </c>
      <c r="E9" s="1815"/>
      <c r="F9" s="1815">
        <f>SUM(B9:E9)</f>
        <v>530900</v>
      </c>
    </row>
    <row r="10" spans="1:8" s="1079" customFormat="1" ht="14.25" thickTop="1" thickBot="1" x14ac:dyDescent="0.25">
      <c r="A10" s="1080" t="s">
        <v>1370</v>
      </c>
      <c r="B10" s="1817">
        <f>(B8-B9)</f>
        <v>-76032</v>
      </c>
      <c r="C10" s="1817">
        <f>(C8-C9)</f>
        <v>0</v>
      </c>
      <c r="D10" s="1817">
        <f>(D8-D9)</f>
        <v>0</v>
      </c>
      <c r="E10" s="1816">
        <f>(E8-E9)</f>
        <v>0</v>
      </c>
      <c r="F10" s="1818">
        <f>SUM(F8-F9)</f>
        <v>-76032</v>
      </c>
    </row>
    <row r="11" spans="1:8" s="1079" customFormat="1" ht="14.25" thickTop="1" thickBot="1" x14ac:dyDescent="0.25">
      <c r="A11" s="1081" t="s">
        <v>1983</v>
      </c>
      <c r="B11" s="1819">
        <f>'Acct Summary 7-8'!C81</f>
        <v>53640</v>
      </c>
      <c r="C11" s="1819">
        <f>'Acct Summary 7-8'!D81</f>
        <v>0</v>
      </c>
      <c r="D11" s="1819">
        <f>'Acct Summary 7-8'!F81</f>
        <v>0</v>
      </c>
      <c r="E11" s="1819">
        <f>'Acct Summary 7-8'!I81</f>
        <v>0</v>
      </c>
      <c r="F11" s="1820">
        <f>SUM(B11:E11)</f>
        <v>53640</v>
      </c>
    </row>
    <row r="12" spans="1:8" ht="16.5" customHeight="1" thickTop="1" x14ac:dyDescent="0.2">
      <c r="A12" s="1082"/>
      <c r="B12" s="1083"/>
      <c r="C12" s="2343"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9" colorId="8" zoomScale="110" zoomScaleNormal="110" workbookViewId="0">
      <selection activeCell="C93" sqref="C9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ENTER ACCOUNTING INFO</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21100801046</v>
      </c>
    </row>
    <row r="3" spans="1:2" x14ac:dyDescent="0.2">
      <c r="A3" t="s">
        <v>956</v>
      </c>
      <c r="B3" s="138" t="str">
        <f>COVER!A15</f>
        <v>Williamson</v>
      </c>
    </row>
    <row r="4" spans="1:2" x14ac:dyDescent="0.2">
      <c r="A4" t="s">
        <v>1007</v>
      </c>
      <c r="B4" s="138" t="str">
        <f>COVER!A17</f>
        <v>Williamson Co CTE System</v>
      </c>
    </row>
    <row r="5" spans="1:2" x14ac:dyDescent="0.2">
      <c r="A5" t="s">
        <v>704</v>
      </c>
      <c r="B5" s="138" t="str">
        <f>COVER!A38</f>
        <v>Jami Hodge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065-050151</v>
      </c>
    </row>
    <row r="16" spans="1:2" x14ac:dyDescent="0.2">
      <c r="A16" t="s">
        <v>422</v>
      </c>
      <c r="B16" s="138" t="str">
        <f>COVER!T13</f>
        <v>ATLAS CPAs &amp; Advisors, LLC</v>
      </c>
    </row>
    <row r="17" spans="1:2" x14ac:dyDescent="0.2">
      <c r="A17" t="s">
        <v>884</v>
      </c>
      <c r="B17" s="138" t="str">
        <f>COVER!T15</f>
        <v>Karla R. Bryk</v>
      </c>
    </row>
    <row r="18" spans="1:2" x14ac:dyDescent="0.2">
      <c r="A18" t="s">
        <v>1150</v>
      </c>
      <c r="B18" s="138" t="str">
        <f>COVER!T17</f>
        <v>P.O. Box 1728</v>
      </c>
    </row>
    <row r="19" spans="1:2" x14ac:dyDescent="0.2">
      <c r="A19" t="s">
        <v>886</v>
      </c>
      <c r="B19" s="138" t="str">
        <f>COVER!T25</f>
        <v>karla.bryk@atlascpas.com</v>
      </c>
    </row>
    <row r="20" spans="1:2" x14ac:dyDescent="0.2">
      <c r="A20" t="s">
        <v>887</v>
      </c>
      <c r="B20" s="138" t="str">
        <f>COVER!T19</f>
        <v xml:space="preserve">Marion </v>
      </c>
    </row>
    <row r="21" spans="1:2" x14ac:dyDescent="0.2">
      <c r="A21" t="s">
        <v>479</v>
      </c>
      <c r="B21" s="138" t="str">
        <f>COVER!X19</f>
        <v>IL</v>
      </c>
    </row>
    <row r="22" spans="1:2" x14ac:dyDescent="0.2">
      <c r="A22" t="s">
        <v>888</v>
      </c>
      <c r="B22" s="138">
        <f>COVER!Z19</f>
        <v>62959</v>
      </c>
    </row>
    <row r="23" spans="1:2" x14ac:dyDescent="0.2">
      <c r="A23" t="s">
        <v>1152</v>
      </c>
      <c r="B23" s="138" t="str">
        <f>COVER!T21</f>
        <v>618-993-2647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103776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50136</v>
      </c>
      <c r="C91" s="2" t="s">
        <v>573</v>
      </c>
      <c r="D91" s="2" t="str">
        <f t="shared" si="0"/>
        <v>Error?</v>
      </c>
    </row>
    <row r="92" spans="1:4" x14ac:dyDescent="0.2">
      <c r="A92" s="5">
        <v>31</v>
      </c>
      <c r="B92" s="138">
        <f>'Assets-Liab 5-6'!C39</f>
        <v>53640</v>
      </c>
      <c r="D92" s="2" t="str">
        <f t="shared" si="0"/>
        <v>Error?</v>
      </c>
    </row>
    <row r="93" spans="1:4" x14ac:dyDescent="0.2">
      <c r="A93" s="5">
        <v>32</v>
      </c>
      <c r="B93" s="138">
        <f>'Assets-Liab 5-6'!C41</f>
        <v>103776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326091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326091</v>
      </c>
      <c r="C279" s="2" t="s">
        <v>573</v>
      </c>
      <c r="D279" s="2" t="str">
        <f t="shared" si="3"/>
        <v>Error?</v>
      </c>
    </row>
    <row r="280" spans="1:4" x14ac:dyDescent="0.2">
      <c r="A280" s="5">
        <v>219</v>
      </c>
      <c r="B280" s="138">
        <f>'Assets-Liab 5-6'!M40</f>
        <v>326091</v>
      </c>
      <c r="D280" s="2" t="str">
        <f t="shared" si="3"/>
        <v>Error?</v>
      </c>
    </row>
    <row r="281" spans="1:4" x14ac:dyDescent="0.2">
      <c r="A281" s="5">
        <v>220</v>
      </c>
      <c r="B281" s="138">
        <f>'Assets-Liab 5-6'!M41</f>
        <v>326091</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58762</v>
      </c>
      <c r="D733" s="2" t="str">
        <f t="shared" si="10"/>
        <v>Error?</v>
      </c>
    </row>
    <row r="734" spans="1:4" x14ac:dyDescent="0.2">
      <c r="A734" s="5">
        <v>673</v>
      </c>
      <c r="B734" s="138">
        <f>'Expenditures 15-22'!C53</f>
        <v>58762</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58743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58743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7300</v>
      </c>
      <c r="D791" s="2" t="str">
        <f t="shared" si="11"/>
        <v>Error?</v>
      </c>
    </row>
    <row r="792" spans="1:4" x14ac:dyDescent="0.2">
      <c r="A792" s="5">
        <v>731</v>
      </c>
      <c r="B792" s="138">
        <f>'Expenditures 15-22'!D53</f>
        <v>7300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7300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7300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21747</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21747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2062</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2062</v>
      </c>
      <c r="C843" s="2" t="s">
        <v>573</v>
      </c>
      <c r="D843" s="2" t="str">
        <f t="shared" si="12"/>
        <v>Error?</v>
      </c>
    </row>
    <row r="844" spans="1:4" x14ac:dyDescent="0.2">
      <c r="A844" s="5">
        <v>783</v>
      </c>
      <c r="B844" s="138">
        <f>'Expenditures 15-22'!E44</f>
        <v>14643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995</v>
      </c>
      <c r="D846" s="2" t="str">
        <f t="shared" si="12"/>
        <v>Error?</v>
      </c>
    </row>
    <row r="847" spans="1:4" x14ac:dyDescent="0.2">
      <c r="A847" s="5">
        <v>786</v>
      </c>
      <c r="B847" s="138">
        <f>'Expenditures 15-22'!E47</f>
        <v>15638</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4766</v>
      </c>
      <c r="D849" s="2" t="str">
        <f t="shared" si="12"/>
        <v>Error?</v>
      </c>
    </row>
    <row r="850" spans="1:4" x14ac:dyDescent="0.2">
      <c r="A850" s="5">
        <v>789</v>
      </c>
      <c r="B850" s="138">
        <f>'Expenditures 15-22'!E53</f>
        <v>4766</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22466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44213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105508</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105508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874</v>
      </c>
      <c r="D907" s="2" t="str">
        <f t="shared" si="13"/>
        <v>Error?</v>
      </c>
    </row>
    <row r="908" spans="1:4" x14ac:dyDescent="0.2">
      <c r="A908" s="5">
        <v>847</v>
      </c>
      <c r="B908" s="138">
        <f>'Expenditures 15-22'!F53</f>
        <v>874</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874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106382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28187</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28187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28187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237134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237134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204383</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204383</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2062</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2062</v>
      </c>
      <c r="C1115" s="2" t="s">
        <v>573</v>
      </c>
      <c r="D1115" s="2" t="str">
        <f t="shared" si="16"/>
        <v>Error?</v>
      </c>
    </row>
    <row r="1116" spans="1:4" x14ac:dyDescent="0.2">
      <c r="A1116" s="5">
        <v>1055</v>
      </c>
      <c r="B1116" s="138">
        <f>'Expenditures 15-22'!K44</f>
        <v>14643</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995</v>
      </c>
      <c r="C1118" s="2" t="s">
        <v>573</v>
      </c>
      <c r="D1118" s="2" t="str">
        <f t="shared" si="16"/>
        <v>Error?</v>
      </c>
    </row>
    <row r="1119" spans="1:4" x14ac:dyDescent="0.2">
      <c r="A1119" s="5">
        <v>1058</v>
      </c>
      <c r="B1119" s="138">
        <f>'Expenditures 15-22'!K47</f>
        <v>15638</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71702</v>
      </c>
      <c r="C1121" s="2" t="s">
        <v>573</v>
      </c>
      <c r="D1121" s="2" t="str">
        <f t="shared" si="16"/>
        <v>Error?</v>
      </c>
    </row>
    <row r="1122" spans="1:4" x14ac:dyDescent="0.2">
      <c r="A1122" s="5">
        <v>1061</v>
      </c>
      <c r="B1122" s="138">
        <f>'Expenditures 15-22'!K53</f>
        <v>71702</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89383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237134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530900</v>
      </c>
      <c r="C1152" s="2" t="s">
        <v>573</v>
      </c>
      <c r="D1152" s="2" t="str">
        <f t="shared" si="17"/>
        <v>Error?</v>
      </c>
    </row>
    <row r="1153" spans="1:4" x14ac:dyDescent="0.2">
      <c r="A1153" s="5">
        <v>1092</v>
      </c>
      <c r="B1153" s="138">
        <f>'Expenditures 15-22'!K115</f>
        <v>-76032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129672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53640</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958756</v>
      </c>
      <c r="D2011" s="2" t="str">
        <f t="shared" si="30"/>
        <v>Error?</v>
      </c>
    </row>
    <row r="2012" spans="1:4" x14ac:dyDescent="0.2">
      <c r="A2012" s="5">
        <v>1951</v>
      </c>
      <c r="B2012" s="138">
        <f>'Cap Outlay Deprec 26'!C13</f>
        <v>224397</v>
      </c>
      <c r="D2012" s="2" t="str">
        <f t="shared" si="30"/>
        <v>Error?</v>
      </c>
    </row>
    <row r="2013" spans="1:4" x14ac:dyDescent="0.2">
      <c r="A2013" s="5">
        <v>1952</v>
      </c>
      <c r="B2013" s="138">
        <f>'Cap Outlay Deprec 26'!C16</f>
        <v>1183153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12930</v>
      </c>
      <c r="D2017" s="2" t="str">
        <f t="shared" si="30"/>
        <v>Error?</v>
      </c>
    </row>
    <row r="2018" spans="1:4" x14ac:dyDescent="0.2">
      <c r="A2018" s="5">
        <v>1957</v>
      </c>
      <c r="B2018" s="138">
        <f>'Cap Outlay Deprec 26'!D13</f>
        <v>15257</v>
      </c>
      <c r="D2018" s="2" t="str">
        <f t="shared" si="30"/>
        <v>Error?</v>
      </c>
    </row>
    <row r="2019" spans="1:4" x14ac:dyDescent="0.2">
      <c r="A2019" s="5">
        <v>1958</v>
      </c>
      <c r="B2019" s="138">
        <f>'Cap Outlay Deprec 26'!D16</f>
        <v>28187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1199</v>
      </c>
      <c r="D2023" s="2" t="str">
        <f t="shared" si="30"/>
        <v>Error?</v>
      </c>
    </row>
    <row r="2024" spans="1:4" x14ac:dyDescent="0.2">
      <c r="A2024" s="5">
        <v>1963</v>
      </c>
      <c r="B2024" s="138">
        <f>'Cap Outlay Deprec 26'!E13</f>
        <v>599</v>
      </c>
      <c r="D2024" s="2" t="str">
        <f t="shared" si="30"/>
        <v>Error?</v>
      </c>
    </row>
    <row r="2025" spans="1:4" x14ac:dyDescent="0.2">
      <c r="A2025" s="5">
        <v>1964</v>
      </c>
      <c r="B2025" s="138">
        <f>'Cap Outlay Deprec 26'!E16</f>
        <v>1798</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970487</v>
      </c>
      <c r="C2029" s="2" t="s">
        <v>573</v>
      </c>
      <c r="D2029" s="2" t="str">
        <f t="shared" si="30"/>
        <v>Error?</v>
      </c>
    </row>
    <row r="2030" spans="1:4" x14ac:dyDescent="0.2">
      <c r="A2030" s="5">
        <v>1969</v>
      </c>
      <c r="B2030" s="138">
        <f>'Cap Outlay Deprec 26'!F13</f>
        <v>239055</v>
      </c>
      <c r="C2030" s="2" t="s">
        <v>573</v>
      </c>
      <c r="D2030" s="2" t="str">
        <f t="shared" si="30"/>
        <v>Error?</v>
      </c>
    </row>
    <row r="2031" spans="1:4" x14ac:dyDescent="0.2">
      <c r="A2031" s="5">
        <v>1970</v>
      </c>
      <c r="B2031" s="138">
        <f>'Cap Outlay Deprec 26'!F16</f>
        <v>1209542</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657197</v>
      </c>
      <c r="D2035" s="2" t="str">
        <f t="shared" si="30"/>
        <v>Error?</v>
      </c>
    </row>
    <row r="2036" spans="1:4" x14ac:dyDescent="0.2">
      <c r="A2036" s="5">
        <v>1975</v>
      </c>
      <c r="B2036" s="138">
        <f>'Cap Outlay Deprec 26'!H13</f>
        <v>114475</v>
      </c>
      <c r="D2036" s="2" t="str">
        <f t="shared" si="30"/>
        <v>Error?</v>
      </c>
    </row>
    <row r="2037" spans="1:4" x14ac:dyDescent="0.2">
      <c r="A2037" s="5">
        <v>1976</v>
      </c>
      <c r="B2037" s="138">
        <f>'Cap Outlay Deprec 26'!H16</f>
        <v>771672</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68812</v>
      </c>
      <c r="D2041" s="2" t="str">
        <f t="shared" si="30"/>
        <v>Error?</v>
      </c>
    </row>
    <row r="2042" spans="1:4" x14ac:dyDescent="0.2">
      <c r="A2042" s="5">
        <v>1981</v>
      </c>
      <c r="B2042" s="138">
        <f>'Cap Outlay Deprec 26'!I13</f>
        <v>44136</v>
      </c>
      <c r="D2042" s="2" t="str">
        <f t="shared" si="30"/>
        <v>Error?</v>
      </c>
    </row>
    <row r="2043" spans="1:4" x14ac:dyDescent="0.2">
      <c r="A2043" s="5">
        <v>1982</v>
      </c>
      <c r="B2043" s="138">
        <f>'Cap Outlay Deprec 26'!I16</f>
        <v>112948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570</v>
      </c>
      <c r="D2047" s="2" t="str">
        <f t="shared" ref="D2047:D2110" si="31">IF(ISBLANK(B2047),"OK",IF(A2047-B2047=0,"OK","Error?"))</f>
        <v>Error?</v>
      </c>
    </row>
    <row r="2048" spans="1:4" x14ac:dyDescent="0.2">
      <c r="A2048" s="5">
        <v>1987</v>
      </c>
      <c r="B2048" s="138">
        <f>'Cap Outlay Deprec 26'!J13</f>
        <v>599</v>
      </c>
      <c r="D2048" s="2" t="str">
        <f t="shared" si="31"/>
        <v>Error?</v>
      </c>
    </row>
    <row r="2049" spans="1:4" x14ac:dyDescent="0.2">
      <c r="A2049" s="5">
        <v>1988</v>
      </c>
      <c r="B2049" s="138">
        <f>'Cap Outlay Deprec 26'!J16</f>
        <v>1169</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725439</v>
      </c>
      <c r="C2053" s="2" t="s">
        <v>573</v>
      </c>
      <c r="D2053" s="2" t="str">
        <f t="shared" si="31"/>
        <v>Error?</v>
      </c>
    </row>
    <row r="2054" spans="1:4" x14ac:dyDescent="0.2">
      <c r="A2054" s="5">
        <v>1993</v>
      </c>
      <c r="B2054" s="138">
        <f>'Cap Outlay Deprec 26'!K13</f>
        <v>158012</v>
      </c>
      <c r="C2054" s="2" t="s">
        <v>573</v>
      </c>
      <c r="D2054" s="2" t="str">
        <f t="shared" si="31"/>
        <v>Error?</v>
      </c>
    </row>
    <row r="2055" spans="1:4" x14ac:dyDescent="0.2">
      <c r="A2055" s="5">
        <v>1994</v>
      </c>
      <c r="B2055" s="138">
        <f>'Cap Outlay Deprec 26'!K16</f>
        <v>883451</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245048</v>
      </c>
      <c r="C2059" s="2" t="s">
        <v>573</v>
      </c>
      <c r="D2059" s="2" t="str">
        <f t="shared" si="31"/>
        <v>Error?</v>
      </c>
    </row>
    <row r="2060" spans="1:4" x14ac:dyDescent="0.2">
      <c r="A2060" s="5">
        <v>1999</v>
      </c>
      <c r="B2060" s="138">
        <f>'Cap Outlay Deprec 26'!L13</f>
        <v>81043</v>
      </c>
      <c r="C2060" s="2" t="s">
        <v>573</v>
      </c>
      <c r="D2060" s="2" t="str">
        <f t="shared" si="31"/>
        <v>Error?</v>
      </c>
    </row>
    <row r="2061" spans="1:4" x14ac:dyDescent="0.2">
      <c r="A2061" s="5">
        <v>2000</v>
      </c>
      <c r="B2061" s="138">
        <f>'Cap Outlay Deprec 26'!L16</f>
        <v>326091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237134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237134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0</v>
      </c>
      <c r="C2551" s="2" t="s">
        <v>573</v>
      </c>
      <c r="D2551" s="2" t="str">
        <f t="shared" si="38"/>
        <v>Error?</v>
      </c>
    </row>
    <row r="2552" spans="1:4" x14ac:dyDescent="0.2">
      <c r="A2552" s="10">
        <v>2491</v>
      </c>
      <c r="D2552" s="2" t="str">
        <f t="shared" si="38"/>
        <v>OK</v>
      </c>
    </row>
    <row r="2553" spans="1:4" x14ac:dyDescent="0.2">
      <c r="A2553" s="5">
        <v>2492</v>
      </c>
      <c r="B2553" s="138">
        <f>'Acct Summary 7-8'!C6</f>
        <v>329155</v>
      </c>
      <c r="C2553" s="2" t="s">
        <v>573</v>
      </c>
      <c r="D2553" s="2" t="str">
        <f t="shared" si="38"/>
        <v>Error?</v>
      </c>
    </row>
    <row r="2554" spans="1:4" x14ac:dyDescent="0.2">
      <c r="A2554" s="5">
        <v>2493</v>
      </c>
      <c r="B2554" s="138">
        <f>'Acct Summary 7-8'!C7</f>
        <v>125713</v>
      </c>
      <c r="C2554" s="2" t="s">
        <v>573</v>
      </c>
      <c r="D2554" s="2" t="str">
        <f t="shared" si="38"/>
        <v>Error?</v>
      </c>
    </row>
    <row r="2555" spans="1:4" x14ac:dyDescent="0.2">
      <c r="A2555" s="5">
        <v>2494</v>
      </c>
      <c r="B2555" s="138">
        <f>'Acct Summary 7-8'!C8</f>
        <v>454868</v>
      </c>
      <c r="C2555" s="2" t="s">
        <v>573</v>
      </c>
      <c r="D2555" s="2" t="str">
        <f t="shared" si="38"/>
        <v>Error?</v>
      </c>
    </row>
    <row r="2556" spans="1:4" x14ac:dyDescent="0.2">
      <c r="A2556" s="5">
        <v>2495</v>
      </c>
      <c r="B2556" s="138">
        <f>'Acct Summary 7-8'!C12</f>
        <v>204383</v>
      </c>
      <c r="C2556" s="2" t="s">
        <v>573</v>
      </c>
      <c r="D2556" s="2" t="str">
        <f t="shared" si="38"/>
        <v>Error?</v>
      </c>
    </row>
    <row r="2557" spans="1:4" x14ac:dyDescent="0.2">
      <c r="A2557" s="5">
        <v>2496</v>
      </c>
      <c r="B2557" s="138">
        <f>'Acct Summary 7-8'!C13</f>
        <v>89383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237134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530900</v>
      </c>
      <c r="C2561" s="2" t="s">
        <v>573</v>
      </c>
      <c r="D2561" s="2" t="str">
        <f t="shared" si="39"/>
        <v>Error?</v>
      </c>
    </row>
    <row r="2562" spans="1:4" x14ac:dyDescent="0.2">
      <c r="A2562" s="5">
        <v>2501</v>
      </c>
      <c r="B2562" s="138">
        <f>'Acct Summary 7-8'!C20</f>
        <v>-76032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237134</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237134</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-76032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74621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454868</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530900</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53640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573</v>
      </c>
      <c r="D5120" s="2" t="str">
        <f t="shared" si="79"/>
        <v>Error?</v>
      </c>
    </row>
    <row r="5121" spans="1:4" x14ac:dyDescent="0.2">
      <c r="A5121" s="5">
        <v>5060</v>
      </c>
      <c r="B5121" s="138">
        <f>'Revenues 9-14'!C109</f>
        <v>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329155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329155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329155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329155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125713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125713</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125713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125713</v>
      </c>
      <c r="C5326" s="2" t="s">
        <v>573</v>
      </c>
      <c r="D5326" s="2" t="str">
        <f t="shared" si="82"/>
        <v>Error?</v>
      </c>
    </row>
    <row r="5327" spans="1:5" x14ac:dyDescent="0.2">
      <c r="A5327" s="5">
        <v>5266</v>
      </c>
      <c r="B5327" s="138">
        <f>'Revenues 9-14'!C268</f>
        <v>454868</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29155</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48503</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1136</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497</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-76032</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-1.4174496644295302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48941</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48941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48941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48941</v>
      </c>
      <c r="D7624" s="2" t="str">
        <f t="shared" si="124"/>
        <v>Error?</v>
      </c>
      <c r="E7624" s="2" t="s">
        <v>19</v>
      </c>
    </row>
    <row r="7625" spans="1:5" x14ac:dyDescent="0.2">
      <c r="A7625">
        <f t="shared" si="123"/>
        <v>7564</v>
      </c>
      <c r="B7625" s="138">
        <f>'Cap Outlay Deprec 26'!I17</f>
        <v>4894.1000000000004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117842.1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7"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1987</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Williamson Co CTE System</v>
      </c>
      <c r="B7" s="2406"/>
      <c r="C7" s="2406"/>
      <c r="D7" s="2407"/>
      <c r="E7" s="2408">
        <f>COVER!A13</f>
        <v>21100801046</v>
      </c>
      <c r="F7" s="2409"/>
      <c r="G7" s="2415" t="str">
        <f>COVER!T23</f>
        <v>065-050151</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ATLAS CPAs &amp; Advisors, LLC</v>
      </c>
      <c r="H9" s="2421"/>
      <c r="I9" s="2421"/>
      <c r="J9" s="2421"/>
      <c r="K9" s="2421"/>
      <c r="L9" s="2422"/>
    </row>
    <row r="10" spans="1:29" ht="13.5" customHeight="1" x14ac:dyDescent="0.2">
      <c r="A10" s="2395" t="str">
        <f>COVER!A38</f>
        <v>Jami Hodge</v>
      </c>
      <c r="B10" s="2396"/>
      <c r="C10" s="2396"/>
      <c r="D10" s="2396"/>
      <c r="E10" s="2396"/>
      <c r="F10" s="2397"/>
      <c r="G10" s="2389" t="str">
        <f>COVER!T17</f>
        <v>P.O. Box 1728</v>
      </c>
      <c r="H10" s="2390"/>
      <c r="I10" s="2390"/>
      <c r="J10" s="2390"/>
      <c r="K10" s="2390"/>
      <c r="L10" s="2391"/>
    </row>
    <row r="11" spans="1:29" ht="13.5" customHeight="1" x14ac:dyDescent="0.2">
      <c r="A11" s="1184" t="s">
        <v>1519</v>
      </c>
      <c r="B11" s="1185"/>
      <c r="C11" s="1186"/>
      <c r="D11" s="1191"/>
      <c r="E11" s="1186"/>
      <c r="F11" s="1190"/>
      <c r="G11" s="2389" t="str">
        <f>COVER!T19</f>
        <v xml:space="preserve">Marion </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karla.bryk@atlascpas.com</v>
      </c>
      <c r="J13" s="2402"/>
      <c r="K13" s="2402"/>
      <c r="L13" s="2403"/>
    </row>
    <row r="14" spans="1:29" ht="13.5" customHeight="1" x14ac:dyDescent="0.2">
      <c r="A14" s="2389" t="str">
        <f>COVER!A19</f>
        <v>411 Sout Court Street</v>
      </c>
      <c r="B14" s="2390"/>
      <c r="C14" s="2390"/>
      <c r="D14" s="2390"/>
      <c r="E14" s="2390"/>
      <c r="F14" s="2391"/>
      <c r="G14" s="1195" t="s">
        <v>1185</v>
      </c>
      <c r="H14" s="1193"/>
      <c r="I14" s="1193"/>
      <c r="J14" s="1193"/>
      <c r="K14" s="1193"/>
      <c r="L14" s="1194"/>
    </row>
    <row r="15" spans="1:29" ht="13.5" customHeight="1" x14ac:dyDescent="0.2">
      <c r="A15" s="2389" t="str">
        <f>COVER!A21</f>
        <v>Marion</v>
      </c>
      <c r="B15" s="2390"/>
      <c r="C15" s="2390"/>
      <c r="D15" s="2390"/>
      <c r="E15" s="2390"/>
      <c r="F15" s="2391"/>
      <c r="G15" s="2386" t="str">
        <f>COVER!T15</f>
        <v>Karla R. Bryk</v>
      </c>
      <c r="H15" s="2387"/>
      <c r="I15" s="2387"/>
      <c r="J15" s="2387"/>
      <c r="K15" s="2387"/>
      <c r="L15" s="2388"/>
    </row>
    <row r="16" spans="1:29" ht="12.2" customHeight="1" x14ac:dyDescent="0.2">
      <c r="A16" s="2411">
        <f>COVER!A25</f>
        <v>62959</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618-993-2647</v>
      </c>
      <c r="H18" s="2406"/>
      <c r="I18" s="2406"/>
      <c r="J18" s="2406"/>
      <c r="K18" s="2405" t="str">
        <f>COVER!X21</f>
        <v>618-551-3088</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Williamson Co CTE System</v>
      </c>
      <c r="B1" s="2404"/>
      <c r="C1" s="2404"/>
      <c r="D1" s="2404"/>
    </row>
    <row r="2" spans="1:11" s="1212" customFormat="1" ht="12.75" x14ac:dyDescent="0.2">
      <c r="A2" s="2428">
        <f>'Single Audit Cover'!E7</f>
        <v>21100801046</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6" sqref="D1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Williamson Co CTE System</v>
      </c>
      <c r="B1" s="2431"/>
      <c r="C1" s="2431"/>
      <c r="D1" s="2431"/>
      <c r="E1" s="2431"/>
    </row>
    <row r="2" spans="1:5" x14ac:dyDescent="0.2">
      <c r="A2" s="2432">
        <f>'Single Audit Cover'!E7</f>
        <v>21100801046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125713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125713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t="s">
        <v>2082</v>
      </c>
      <c r="B24" s="2433"/>
      <c r="D24" s="1265">
        <v>5936</v>
      </c>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131649</v>
      </c>
    </row>
    <row r="33" spans="1:4" x14ac:dyDescent="0.2">
      <c r="D33" s="1266"/>
    </row>
    <row r="34" spans="1:4" x14ac:dyDescent="0.2">
      <c r="A34" s="317" t="s">
        <v>1232</v>
      </c>
    </row>
    <row r="35" spans="1:4" x14ac:dyDescent="0.2">
      <c r="A35" s="317" t="s">
        <v>1231</v>
      </c>
      <c r="B35" s="1255" t="s">
        <v>1230</v>
      </c>
      <c r="D35" s="1267">
        <v>131649</v>
      </c>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131649</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Williamson Co CTE System</v>
      </c>
      <c r="C1" s="2435"/>
      <c r="D1" s="2435"/>
      <c r="E1" s="2435"/>
      <c r="F1" s="2435"/>
      <c r="G1" s="2435"/>
      <c r="H1" s="2435"/>
      <c r="I1" s="2435"/>
      <c r="J1" s="2435"/>
      <c r="K1" s="2435"/>
      <c r="L1" s="2435"/>
      <c r="M1" s="2435"/>
    </row>
    <row r="2" spans="2:14" ht="15" x14ac:dyDescent="0.2">
      <c r="B2" s="2436">
        <f>'Single Audit Cover'!E7</f>
        <v>21100801046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11" sqref="A1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Williamson Co CTE System</v>
      </c>
      <c r="B1" s="2448"/>
      <c r="C1" s="2448"/>
      <c r="D1" s="2448"/>
      <c r="E1" s="2448"/>
      <c r="F1" s="2448"/>
    </row>
    <row r="2" spans="1:7" ht="13.5" customHeight="1" x14ac:dyDescent="0.2">
      <c r="A2" s="2436">
        <f>'Single Audit Cover'!E7</f>
        <v>21100801046</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1729</v>
      </c>
      <c r="B7" s="2447"/>
      <c r="C7" s="2447"/>
      <c r="D7" s="2447"/>
      <c r="E7" s="2447"/>
      <c r="F7" s="244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7" t="s">
        <v>1731</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1" t="s">
        <v>1732</v>
      </c>
      <c r="B32" s="2441"/>
      <c r="C32" s="2441"/>
      <c r="D32" s="2441"/>
      <c r="E32" s="2441"/>
      <c r="F32" s="2441"/>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2">
        <f>+C33+C34</f>
        <v>0</v>
      </c>
      <c r="F34" s="244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G20" sqref="G20"/>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Williamson Co CTE System</v>
      </c>
      <c r="C1" s="2463"/>
      <c r="D1" s="2463"/>
      <c r="E1" s="2463"/>
      <c r="F1" s="2463"/>
      <c r="G1" s="2463"/>
      <c r="H1" s="2463"/>
      <c r="I1" s="2463"/>
      <c r="J1" s="1406"/>
    </row>
    <row r="2" spans="2:10" s="317" customFormat="1" ht="12.75" customHeight="1" x14ac:dyDescent="0.2">
      <c r="B2" s="2464">
        <f>'Single Audit Cover'!E7</f>
        <v>21100801046</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t="s">
        <v>2083</v>
      </c>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2065</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t="s">
        <v>2065</v>
      </c>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2065</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0" t="s">
        <v>1751</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0</v>
      </c>
      <c r="H43" s="2454"/>
      <c r="I43" s="2454"/>
    </row>
    <row r="44" spans="2:9" ht="12.75" customHeight="1" x14ac:dyDescent="0.2"/>
    <row r="45" spans="2:9" ht="12.75" customHeight="1" x14ac:dyDescent="0.2">
      <c r="B45" s="1419" t="s">
        <v>2062</v>
      </c>
      <c r="D45" s="2455">
        <v>0</v>
      </c>
      <c r="E45" s="245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7"/>
      <c r="F49" s="2457"/>
      <c r="G49" s="245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3" sqref="B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Williamson Co CTE System</v>
      </c>
      <c r="C1" s="2462"/>
      <c r="D1" s="2462"/>
      <c r="E1" s="2462"/>
      <c r="F1" s="2462"/>
      <c r="G1" s="2462"/>
      <c r="H1" s="2462"/>
      <c r="I1" s="2462"/>
      <c r="J1" s="2462"/>
      <c r="K1" s="2462"/>
      <c r="L1" s="1371"/>
      <c r="M1" s="1371"/>
    </row>
    <row r="2" spans="1:13" ht="12" customHeight="1" x14ac:dyDescent="0.2">
      <c r="B2" s="2464">
        <f>'Single Audit Cover'!E7</f>
        <v>21100801046</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2084</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2085</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t="s">
        <v>2086</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t="s">
        <v>2087</v>
      </c>
      <c r="C20" s="2481"/>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2088</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t="s">
        <v>2089</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t="s">
        <v>2090</v>
      </c>
      <c r="C29" s="2477"/>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t="s">
        <v>2091</v>
      </c>
      <c r="C32" s="2477"/>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Williamson Co CTE System</v>
      </c>
      <c r="C1" s="2485"/>
      <c r="D1" s="2485"/>
      <c r="E1" s="2485"/>
      <c r="F1" s="2485"/>
      <c r="G1" s="2485"/>
      <c r="H1" s="2485"/>
      <c r="I1" s="2485"/>
      <c r="J1" s="2485"/>
      <c r="K1" s="2485"/>
      <c r="L1" s="1449"/>
    </row>
    <row r="2" spans="1:12" ht="12.75" customHeight="1" x14ac:dyDescent="0.2">
      <c r="B2" s="2486">
        <f>'Single Audit Cover'!E7</f>
        <v>21100801046</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35" sqref="C3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Williamson Co CTE System</v>
      </c>
      <c r="C1" s="2462"/>
      <c r="D1" s="2462"/>
      <c r="E1" s="1469"/>
    </row>
    <row r="2" spans="2:5" s="1279" customFormat="1" ht="12.75" customHeight="1" x14ac:dyDescent="0.2">
      <c r="B2" s="2464">
        <f>'Single Audit Cover'!E7</f>
        <v>21100801046</v>
      </c>
      <c r="C2" s="2464"/>
      <c r="D2" s="2464"/>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t="s">
        <v>2092</v>
      </c>
      <c r="C7" s="324" t="s">
        <v>2088</v>
      </c>
      <c r="D7" s="324" t="s">
        <v>2093</v>
      </c>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http://schemas.openxmlformats.org/package/2006/metadata/core-properties"/>
    <ds:schemaRef ds:uri="http://purl.org/dc/terms/"/>
    <ds:schemaRef ds:uri="http://purl.org/dc/dcmitype/"/>
    <ds:schemaRef ds:uri="http://purl.org/dc/elements/1.1/"/>
    <ds:schemaRef ds:uri="http://schemas.microsoft.com/office/2006/metadata/properties"/>
    <ds:schemaRef ds:uri="http://schemas.microsoft.com/office/infopath/2007/PartnerControls"/>
    <ds:schemaRef ds:uri="d21dc803-237d-4c68-8692-8d731fd29118"/>
    <ds:schemaRef ds:uri="http://schemas.microsoft.com/office/2006/documentManagement/types"/>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2019-12-30T19:11:23Z</cp:lastPrinted>
  <dcterms:created xsi:type="dcterms:W3CDTF">2003-10-29T19:06:34Z</dcterms:created>
  <dcterms:modified xsi:type="dcterms:W3CDTF">2019-12-30T19:12:02Z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