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K94" i="29"/>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F36"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L367" i="29" l="1"/>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L16" i="11" l="1"/>
  <c r="B2061" i="106" s="1"/>
  <c r="D2061" i="106" s="1"/>
  <c r="I7" i="4"/>
  <c r="B4444" i="106" s="1"/>
  <c r="D4444" i="106" s="1"/>
  <c r="J16" i="4"/>
  <c r="B6226" i="106" s="1"/>
  <c r="D6226"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<sst xmlns="http://schemas.openxmlformats.org/spreadsheetml/2006/main" count="5087" uniqueCount="2093">
  <si>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</si>
  <si>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</si>
  <si>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</si>
  <si>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</si>
  <si>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</si>
  <si>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</si>
  <si>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</si>
  <si>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</si>
  <si>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</si>
  <si>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</si>
  <si>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</si>
  <si>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</si>
  <si>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</si>
  <si>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</si>
  <si>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</si>
  <si>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</si>
  <si>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</si>
  <si>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</si>
  <si>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</si>
  <si>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</si>
  <si>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</si>
  <si>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</si>
  <si>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</si>
  <si>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</si>
  <si>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</si>
  <si>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</si>
  <si>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</si>
  <si>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</si>
  <si>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</si>
  <si>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</si>
  <si>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</si>
  <si>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</si>
  <si>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</si>
  <si>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</si>
  <si>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</si>
  <si>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</si>
  <si>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</si>
  <si>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</si>
  <si>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</si>
  <si>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</si>
  <si>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</si>
  <si>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</si>
  <si>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</si>
  <si>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</si>
  <si>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</si>
  <si>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</si>
  <si>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</si>
  <si>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</si>
  <si>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</si>
  <si>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</si>
  <si>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</si>
  <si>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</si>
  <si>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</si>
  <si>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</si>
  <si>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</si>
  <si>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</si>
  <si>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</si>
  <si>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</si>
  <si>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</si>
  <si>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</si>
  <si>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</si>
  <si>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</si>
  <si>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</si>
  <si>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</si>
  <si>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</si>
  <si>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</si>
  <si>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</si>
  <si>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</si>
  <si>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</si>
  <si>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</si>
  <si>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</si>
  <si>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</si>
  <si>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</si>
  <si>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</si>
  <si>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</si>
  <si>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</si>
  <si>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</si>
  <si>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</si>
  <si>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</si>
  <si>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</si>
  <si>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</si>
  <si>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</si>
  <si>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</si>
  <si>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</si>
  <si>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</si>
  <si>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</si>
  <si>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</si>
  <si>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</si>
  <si>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</si>
  <si>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</si>
  <si>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</si>
  <si>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</si>
  <si>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</si>
  <si>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</si>
  <si>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</si>
  <si>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</si>
  <si>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</si>
  <si>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</si>
  <si>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</si>
  <si>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</si>
  <si>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</si>
  <si>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</si>
  <si>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</si>
  <si>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</si>
  <si>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</si>
  <si>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</si>
  <si>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</si>
  <si>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</si>
  <si>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</si>
  <si>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</si>
  <si>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</si>
  <si>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</si>
  <si>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</si>
  <si>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</si>
  <si>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</si>
  <si>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</si>
  <si>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</si>
  <si>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</si>
  <si>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</si>
  <si>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</si>
  <si>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</si>
  <si>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</si>
  <si>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</si>
  <si>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</si>
  <si>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</si>
  <si>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</si>
  <si>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</si>
  <si>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</si>
  <si>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</si>
  <si>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</si>
  <si>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</si>
  <si>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</si>
  <si>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</si>
  <si>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</si>
  <si>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</si>
  <si>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</si>
  <si>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</si>
  <si>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</si>
  <si>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</si>
  <si>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</si>
  <si>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</si>
  <si>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</si>
  <si>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</si>
  <si>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</si>
  <si>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</si>
  <si>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</si>
  <si>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</si>
  <si>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</si>
  <si>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</si>
  <si>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</si>
  <si>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</si>
  <si>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</si>
  <si>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</si>
  <si>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</si>
  <si>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</si>
  <si>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</si>
  <si>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</si>
  <si>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</si>
  <si>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</si>
  <si>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</si>
  <si>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</si>
  <si>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</si>
  <si>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</si>
  <si>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</si>
  <si>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</si>
  <si>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</si>
  <si>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</si>
  <si>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</si>
  <si>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</si>
  <si>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</si>
  <si>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</si>
  <si>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</si>
  <si>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</si>
  <si>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</si>
  <si>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</si>
  <si>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</si>
  <si>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</si>
  <si>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</si>
  <si>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</si>
  <si>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</si>
  <si>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</si>
  <si>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</si>
  <si>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</si>
  <si>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</si>
  <si>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</si>
  <si>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</si>
  <si>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</si>
  <si>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</si>
  <si>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</si>
  <si>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</si>
  <si>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</si>
  <si>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</si>
  <si>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</si>
  <si>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</si>
  <si>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</si>
  <si>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</si>
  <si>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</si>
  <si>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</si>
  <si>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</si>
  <si>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</si>
  <si>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</si>
  <si>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</si>
  <si>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</si>
  <si>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</si>
  <si>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</si>
  <si>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</si>
  <si>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</si>
  <si>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</si>
  <si>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</si>
  <si>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</si>
  <si>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</si>
  <si>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</si>
  <si>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</si>
  <si>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</si>
  <si>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</si>
  <si>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</si>
  <si>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</si>
  <si>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</si>
  <si>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</si>
  <si>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</si>
  <si>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</si>
  <si>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</si>
  <si>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</si>
  <si>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</si>
  <si>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</si>
  <si>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</si>
  <si>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</si>
  <si>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</si>
  <si>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</si>
  <si>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</si>
  <si>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</si>
  <si>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</si>
  <si>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</si>
  <si>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</si>
  <si>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</si>
  <si>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</si>
  <si>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</si>
  <si>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</si>
  <si>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</si>
  <si>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</si>
  <si>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</si>
  <si>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</si>
  <si>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</si>
  <si>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</si>
  <si>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</si>
  <si>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</si>
  <si>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</si>
  <si>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</si>
  <si>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</si>
  <si>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</si>
  <si>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</si>
  <si>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</si>
  <si>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</si>
  <si>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</si>
  <si>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</si>
  <si>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</si>
  <si>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</si>
  <si>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</si>
  <si>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</si>
  <si>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</si>
  <si>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</si>
  <si>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</si>
  <si>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</si>
  <si>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</si>
  <si>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</si>
  <si>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</si>
  <si>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</si>
  <si>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</si>
  <si>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</si>
  <si>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</si>
  <si>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</si>
  <si>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</si>
  <si>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</si>
  <si>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</si>
  <si>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</si>
  <si>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</si>
  <si>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</si>
  <si>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</si>
  <si>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</si>
  <si>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</si>
  <si>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</si>
  <si>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</si>
  <si>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</si>
  <si>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</si>
  <si>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</si>
  <si>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</si>
  <si>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</si>
  <si>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</si>
  <si>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</si>
  <si>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</si>
  <si>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</si>
  <si>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</si>
  <si>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</si>
  <si>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</si>
  <si>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</si>
  <si>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</si>
  <si>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</si>
  <si>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</si>
  <si>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</si>
  <si>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</si>
  <si>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</si>
  <si>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</si>
  <si>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</si>
  <si>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</si>
  <si>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</si>
  <si>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</si>
  <si>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</si>
  <si>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</si>
  <si>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</si>
  <si>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</si>
  <si>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</si>
  <si>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</si>
  <si>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</si>
  <si>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</si>
  <si>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</si>
  <si>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</si>
  <si>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</si>
  <si>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</si>
  <si>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</si>
  <si>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</si>
  <si>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</si>
  <si>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</si>
  <si>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</si>
  <si>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</si>
  <si>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</si>
  <si>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</si>
  <si>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</si>
  <si>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</si>
  <si>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</si>
  <si>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</si>
  <si>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</si>
  <si>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</si>
  <si>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</si>
  <si>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</si>
  <si>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</si>
  <si>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</si>
  <si>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</si>
  <si>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</si>
  <si>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</si>
  <si>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</si>
  <si>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</si>
  <si>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</si>
  <si>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</si>
  <si>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</si>
  <si>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</si>
  <si>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</si>
  <si>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</si>
  <si>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</si>
  <si>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</si>
  <si>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</si>
  <si>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</si>
  <si>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</si>
  <si>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</si>
  <si>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</si>
  <si>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</si>
  <si>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</si>
  <si>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</si>
  <si>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</si>
  <si>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</si>
  <si>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</si>
  <si>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</si>
  <si>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</si>
  <si>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</si>
  <si>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</si>
  <si>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</si>
  <si>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</si>
  <si>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</si>
  <si>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</si>
  <si>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</si>
  <si>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</si>
  <si>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</si>
  <si>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</si>
  <si>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</si>
  <si>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</si>
  <si>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</si>
  <si>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</si>
  <si>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</si>
  <si>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</si>
  <si>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</si>
  <si>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</si>
  <si>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</si>
  <si>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</si>
  <si>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</si>
  <si>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</si>
  <si>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</si>
  <si>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</si>
  <si>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</si>
  <si>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</si>
  <si>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</si>
  <si>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</si>
  <si>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</si>
  <si>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</si>
  <si>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</si>
  <si>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</si>
  <si>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</si>
  <si>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</si>
  <si>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</si>
  <si>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</si>
  <si>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</si>
  <si>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</si>
  <si>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</si>
  <si>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</si>
  <si>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</si>
  <si>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</si>
  <si>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</si>
  <si>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</si>
  <si>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</si>
  <si>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</si>
  <si>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</si>
  <si>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</si>
  <si>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</si>
  <si>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</si>
  <si>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</si>
  <si>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</si>
  <si>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</si>
  <si>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</si>
  <si>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</si>
  <si>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</si>
  <si>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</si>
  <si>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</si>
  <si>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</si>
  <si>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</si>
  <si>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</si>
  <si>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</si>
  <si>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</si>
  <si>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</si>
  <si>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</si>
  <si>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</si>
  <si>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</si>
  <si>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</si>
  <si>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</si>
  <si>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</si>
  <si>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</si>
  <si>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</si>
  <si>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</si>
  <si>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</si>
  <si>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</si>
  <si>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</si>
  <si>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</si>
  <si>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</si>
  <si>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</si>
  <si>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</si>
  <si>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</si>
  <si>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</si>
  <si>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</si>
  <si>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</si>
  <si>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</si>
  <si>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</si>
  <si>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</si>
  <si>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</si>
  <si>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</si>
  <si>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</si>
  <si>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</si>
  <si>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</si>
  <si>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</si>
  <si>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</si>
  <si>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</si>
  <si>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</si>
  <si>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</si>
  <si>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</si>
  <si>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</si>
  <si>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</si>
  <si>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</si>
  <si>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</si>
  <si>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</si>
  <si>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</si>
  <si>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</si>
  <si>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</si>
  <si>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</si>
  <si>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</si>
  <si>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</si>
  <si>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</si>
  <si>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</si>
  <si>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</si>
  <si>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</si>
  <si>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</si>
  <si>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</si>
  <si>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</si>
  <si>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</si>
  <si>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</si>
  <si>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</si>
  <si>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</si>
  <si>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</si>
  <si>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</si>
  <si>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</si>
  <si>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</si>
  <si>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</si>
  <si>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</si>
  <si>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</si>
  <si>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</si>
  <si>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</si>
  <si>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</si>
  <si>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</si>
  <si>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</si>
  <si>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</si>
  <si>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</si>
  <si>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</si>
  <si>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</si>
  <si>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</si>
  <si>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</si>
  <si>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</si>
  <si>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</si>
  <si>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</si>
  <si>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</si>
  <si>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</si>
  <si>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</si>
  <si>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</si>
  <si>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</si>
  <si>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</si>
  <si>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</si>
  <si>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</si>
  <si>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</si>
  <si>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</si>
  <si>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</si>
  <si>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</si>
  <si>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</si>
  <si>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</si>
  <si>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</si>
  <si>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</si>
  <si>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</si>
  <si>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</si>
  <si>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</si>
  <si>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</si>
  <si>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</si>
  <si>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</si>
  <si>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</si>
  <si>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</si>
  <si>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</si>
  <si>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</si>
  <si>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</si>
  <si>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</si>
  <si>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</si>
  <si>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</si>
  <si>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</si>
  <si>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</si>
  <si>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</si>
  <si>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</si>
  <si>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</si>
  <si>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</si>
  <si>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</si>
  <si>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</si>
  <si>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</si>
  <si>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</si>
  <si>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</si>
  <si>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</si>
  <si>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</si>
  <si>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</si>
  <si>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</si>
  <si>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</si>
  <si>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</si>
  <si>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</si>
  <si>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</si>
  <si>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</si>
  <si>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</si>
  <si>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</si>
  <si>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</si>
  <si>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</si>
  <si>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</si>
  <si>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</si>
  <si>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</si>
  <si>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</si>
  <si>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</si>
  <si>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</si>
  <si>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</si>
  <si>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</si>
  <si>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</si>
  <si>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</si>
  <si>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</si>
  <si>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</si>
  <si>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</si>
  <si>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</si>
  <si>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</si>
  <si>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</si>
  <si>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</si>
  <si>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</si>
  <si>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</si>
  <si>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</si>
  <si>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</si>
  <si>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</si>
  <si>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</si>
  <si>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</si>
  <si>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</si>
  <si>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</si>
  <si>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</si>
  <si>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</si>
  <si>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</si>
  <si>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</si>
  <si>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</si>
  <si>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</si>
  <si>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</si>
  <si>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</si>
  <si>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</si>
  <si>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</si>
  <si>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</si>
  <si>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</si>
  <si>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</si>
  <si>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</si>
  <si>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</si>
  <si>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</si>
  <si>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</si>
  <si>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</si>
  <si>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</si>
  <si>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</si>
  <si>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</si>
  <si>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</si>
  <si>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</si>
  <si>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</si>
  <si>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</si>
  <si>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</si>
  <si>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</si>
  <si>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</si>
  <si>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</si>
  <si>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</si>
  <si>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</si>
  <si>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</si>
  <si>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</si>
  <si>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</si>
  <si>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</si>
  <si>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</si>
  <si>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</si>
  <si>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</si>
  <si>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</si>
  <si>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</si>
  <si>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</si>
  <si>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</si>
  <si>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</si>
  <si>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</si>
  <si>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</si>
  <si>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</si>
  <si>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</si>
  <si>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</si>
  <si>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</si>
  <si>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</si>
  <si>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</si>
  <si>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</si>
  <si>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</si>
  <si>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</si>
  <si>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</si>
  <si>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</si>
  <si>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</si>
  <si>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</si>
  <si>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</si>
  <si>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</si>
  <si>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</si>
  <si>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</si>
  <si>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</si>
  <si>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</si>
  <si>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</si>
  <si>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</si>
  <si>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</si>
  <si>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</si>
  <si>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</si>
  <si>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</si>
  <si>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</si>
  <si>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</si>
  <si>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</si>
  <si>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</si>
  <si>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</si>
  <si>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</si>
  <si>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</si>
  <si>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</si>
  <si>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</si>
  <si>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</si>
  <si>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</si>
  <si>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</si>
  <si>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</si>
  <si>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</si>
  <si>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</si>
  <si>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</si>
  <si>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</si>
  <si>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</si>
  <si>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</si>
  <si>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</si>
  <si>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</si>
  <si>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</si>
  <si>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</si>
  <si>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</si>
  <si>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</si>
  <si>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</si>
  <si>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</si>
  <si>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</si>
  <si>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</si>
  <si>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</si>
  <si>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</si>
  <si>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</si>
  <si>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</si>
  <si>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</si>
  <si>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</si>
  <si>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</si>
  <si>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</si>
  <si>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</si>
  <si>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</si>
  <si>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</si>
  <si>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</si>
  <si>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</si>
  <si>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</si>
  <si>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</si>
  <si>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</si>
  <si>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</si>
  <si>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</si>
  <si>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</si>
  <si>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</si>
  <si>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</si>
  <si>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</si>
  <si>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</si>
  <si>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</si>
  <si>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</si>
  <si>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</si>
  <si>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</si>
  <si>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</si>
  <si>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</si>
  <si>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</si>
  <si>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</si>
  <si>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</si>
  <si>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</si>
  <si>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</si>
  <si>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</si>
  <si>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</si>
  <si>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</si>
  <si>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</si>
  <si>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</si>
  <si>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</si>
  <si>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</si>
  <si>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</si>
  <si>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</si>
  <si>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</si>
  <si>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</si>
  <si>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</si>
  <si>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</si>
  <si>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</si>
  <si>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</si>
  <si>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</si>
  <si>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</si>
  <si>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</si>
  <si>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</si>
  <si>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</si>
  <si>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</si>
  <si>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</si>
  <si>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</si>
  <si>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</si>
  <si>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</si>
  <si>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</si>
  <si>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</si>
  <si>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</si>
  <si>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</si>
  <si>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</si>
  <si>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</si>
  <si>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</si>
  <si>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</si>
  <si>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</si>
  <si>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</si>
  <si>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</si>
  <si>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</si>
  <si>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</si>
  <si>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</si>
  <si>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</si>
  <si>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</si>
  <si>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</si>
  <si>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</si>
  <si>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</si>
  <si>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</si>
  <si>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</si>
  <si>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</si>
  <si>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</si>
  <si>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</si>
  <si>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</si>
  <si>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</si>
  <si>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</si>
  <si>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</si>
  <si>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</si>
  <si>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</si>
  <si>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</si>
  <si>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</si>
  <si>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</si>
  <si>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</si>
  <si>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</si>
  <si>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</si>
  <si>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</si>
  <si>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</si>
  <si>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</si>
  <si>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</si>
  <si>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</si>
  <si>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</si>
  <si>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</si>
  <si>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</si>
  <si>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</si>
  <si>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</si>
  <si>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</si>
  <si>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</si>
  <si>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</si>
  <si>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</si>
  <si>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</si>
  <si>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</si>
  <si>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</si>
  <si>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</si>
  <si>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</si>
  <si>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</si>
  <si>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</si>
  <si>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</si>
  <si>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</si>
  <si>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</si>
  <si>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</si>
  <si>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</si>
  <si>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</si>
  <si>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</si>
  <si>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</si>
  <si>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</si>
  <si>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</si>
  <si>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</si>
  <si>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</si>
  <si>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</si>
  <si>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</si>
  <si>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</si>
  <si>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</si>
  <si>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</si>
  <si>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</si>
  <si>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</si>
  <si>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</si>
  <si>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</si>
  <si>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</si>
  <si>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</si>
  <si>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</si>
  <si>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</si>
  <si>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</si>
  <si>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</si>
  <si>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</si>
  <si>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</si>
  <si>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</si>
  <si>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</si>
  <si>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</si>
  <si>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</si>
  <si>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</si>
  <si>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</si>
  <si>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</si>
  <si>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</si>
  <si>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</si>
  <si>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</si>
  <si>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</si>
  <si>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</si>
  <si>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</si>
  <si>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</si>
  <si>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</si>
  <si>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</si>
  <si>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</si>
  <si>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</si>
  <si>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</si>
  <si>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</si>
  <si>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</si>
  <si>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</si>
  <si>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</si>
  <si>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</si>
  <si>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</si>
  <si>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</si>
  <si>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</si>
  <si>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</si>
  <si>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</si>
  <si>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</si>
  <si>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</si>
  <si>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</si>
  <si>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</si>
  <si>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</si>
  <si>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</si>
  <si>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</si>
  <si>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</si>
  <si>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</si>
  <si>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</si>
  <si>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</si>
  <si>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</si>
  <si>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</si>
  <si>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</si>
  <si>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</si>
  <si>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</si>
  <si>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</si>
  <si>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</si>
  <si>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</si>
  <si>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</si>
  <si>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</si>
  <si>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</si>
  <si>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</si>
  <si>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</si>
  <si>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</si>
  <si>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</si>
  <si>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</si>
  <si>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</si>
  <si>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</si>
  <si>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</si>
  <si>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</si>
  <si>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</si>
  <si>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</si>
  <si>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</si>
  <si>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</si>
  <si>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</si>
  <si>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</si>
  <si>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</si>
  <si>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</si>
  <si>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</si>
  <si>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</si>
  <si>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</si>
  <si>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</si>
  <si>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</si>
  <si>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</si>
  <si>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</si>
  <si>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</si>
  <si>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</si>
  <si>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</si>
  <si>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</si>
  <si>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</si>
  <si>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</si>
  <si>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</si>
  <si>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</si>
  <si>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</si>
  <si>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</si>
  <si>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</si>
  <si>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</si>
  <si>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</si>
  <si>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</si>
  <si>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</si>
  <si>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</si>
  <si>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</si>
  <si>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</si>
  <si>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</si>
  <si>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</si>
  <si>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</si>
  <si>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</si>
  <si>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</si>
  <si>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</si>
  <si>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</si>
  <si>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</si>
  <si>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</si>
  <si>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</si>
  <si>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</si>
  <si>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</si>
  <si>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</si>
  <si>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</si>
  <si>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</si>
  <si>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</si>
  <si>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</si>
  <si>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</si>
  <si>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</si>
  <si>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</si>
  <si>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</si>
  <si>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</si>
  <si>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</si>
  <si>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</si>
  <si>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</si>
  <si>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</si>
  <si>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</si>
  <si>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</si>
  <si>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</si>
  <si>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</si>
  <si>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</si>
  <si>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</si>
  <si>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</si>
  <si>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</si>
  <si>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</si>
  <si>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</si>
  <si>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</si>
  <si>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</si>
  <si>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</si>
  <si>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</si>
  <si>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</si>
  <si>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</si>
  <si>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</si>
  <si>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</si>
  <si>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</si>
  <si>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</si>
  <si>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</si>
  <si>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</si>
  <si>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</si>
  <si>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</si>
  <si>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</si>
  <si>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</si>
  <si>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</si>
  <si>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</si>
  <si>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</si>
  <si>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</si>
  <si>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</si>
  <si>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</si>
  <si>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</si>
  <si>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</si>
  <si>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</si>
  <si>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</si>
  <si>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</si>
  <si>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</si>
  <si>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</si>
  <si>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</si>
  <si>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</si>
  <si>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</si>
  <si>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</si>
  <si>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</si>
  <si>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</si>
  <si>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</si>
  <si>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</si>
  <si>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</si>
  <si>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</si>
  <si>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</si>
  <si>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</si>
  <si>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</si>
  <si>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</si>
  <si>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</si>
  <si>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</si>
  <si>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</si>
  <si>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</si>
  <si>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</si>
  <si>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</si>
  <si>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</si>
  <si>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</si>
  <si>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</si>
  <si>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</si>
  <si>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</si>
  <si>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</si>
  <si>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</si>
  <si>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</si>
  <si>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</si>
  <si>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</si>
  <si>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</si>
  <si>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</si>
  <si>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</si>
  <si>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</si>
  <si>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</si>
  <si>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</si>
  <si>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</si>
  <si>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</si>
  <si>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</si>
  <si>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</si>
  <si>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</si>
  <si>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</si>
  <si>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</si>
  <si>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</si>
  <si>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</si>
  <si>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</si>
  <si>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</si>
  <si>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</si>
  <si>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</si>
  <si>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</si>
  <si>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</si>
  <si>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</si>
  <si>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</si>
  <si>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</si>
  <si>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</si>
  <si>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</si>
  <si>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</si>
  <si>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</si>
  <si>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</si>
  <si>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</si>
  <si>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</si>
  <si>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</si>
  <si>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</si>
  <si>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</si>
  <si>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</si>
  <si>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</si>
  <si>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</si>
  <si>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</si>
  <si>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</si>
  <si>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</si>
  <si>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</si>
  <si>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</si>
  <si>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</si>
  <si>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</si>
  <si>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</si>
  <si>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</si>
  <si>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</si>
  <si>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</si>
  <si>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</si>
  <si>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</si>
  <si>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</si>
  <si>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</si>
  <si>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</si>
  <si>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</si>
  <si>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</si>
  <si>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</si>
  <si>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</si>
  <si>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</si>
  <si>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</si>
  <si>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</si>
  <si>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</si>
  <si>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</si>
  <si>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</si>
  <si>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</si>
  <si>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</si>
  <si>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</si>
  <si>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</si>
  <si>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</si>
  <si>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</si>
  <si>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</si>
  <si>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</si>
  <si>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</si>
  <si>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</si>
  <si>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</si>
  <si>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</si>
  <si>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</si>
  <si>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</si>
  <si>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</si>
  <si>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</si>
  <si>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</si>
  <si>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</si>
  <si>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</si>
  <si>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</si>
  <si>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</si>
  <si>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</si>
  <si>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</si>
  <si>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</si>
  <si>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</si>
  <si>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</si>
  <si>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</si>
  <si>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</si>
  <si>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</si>
  <si>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</si>
  <si>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</si>
  <si>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</si>
  <si>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</si>
  <si>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</si>
  <si>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</si>
  <si>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</si>
  <si>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</si>
  <si>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</si>
  <si>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</si>
  <si>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</si>
  <si>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</si>
  <si>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</si>
  <si>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</si>
  <si>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</si>
  <si>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</si>
  <si>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</si>
  <si>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</si>
  <si>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</si>
  <si>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</si>
  <si>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</si>
  <si>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</si>
  <si>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</si>
  <si>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</si>
  <si>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</si>
  <si>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</si>
  <si>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</si>
  <si>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</si>
  <si>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</si>
  <si>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</si>
  <si>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</si>
  <si>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</si>
  <si>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</si>
  <si>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</si>
  <si>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</si>
  <si>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</si>
  <si>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</si>
  <si>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</si>
  <si>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</si>
  <si>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</si>
  <si>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</si>
  <si>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</si>
  <si>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</si>
  <si>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</si>
  <si>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</si>
  <si>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</si>
  <si>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</si>
  <si>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</si>
  <si>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</si>
  <si>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</si>
  <si>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</si>
  <si>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</si>
  <si>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</si>
  <si>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</si>
  <si>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</si>
  <si>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</si>
  <si>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</si>
  <si>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</si>
  <si>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</si>
  <si>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</si>
  <si>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</si>
  <si>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</si>
  <si>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</si>
  <si>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</si>
  <si>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</si>
  <si>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</si>
  <si>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</si>
  <si>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</si>
  <si>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</si>
  <si>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</si>
  <si>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</si>
  <si>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</si>
  <si>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</si>
  <si>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</si>
  <si>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</si>
  <si>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</si>
  <si>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</si>
  <si>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</si>
  <si>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</si>
  <si>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</si>
  <si>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</si>
  <si>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</si>
  <si>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</si>
  <si>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</si>
  <si>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</si>
  <si>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</si>
  <si>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</si>
  <si>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</si>
  <si>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</si>
  <si>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</si>
  <si>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</si>
  <si>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</si>
  <si>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</si>
  <si>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</si>
  <si>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</si>
  <si>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</si>
  <si>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</si>
  <si>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</si>
  <si>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</si>
  <si>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</si>
  <si>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</si>
  <si>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</si>
  <si>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</si>
  <si>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</si>
  <si>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</si>
  <si>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</si>
  <si>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</si>
  <si>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</si>
  <si>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</si>
  <si>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</si>
  <si>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</si>
  <si>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</si>
  <si>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</si>
  <si>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</si>
  <si>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</si>
  <si>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</si>
  <si>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</si>
  <si>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</si>
  <si>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</si>
  <si>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</si>
  <si>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</si>
  <si>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</si>
  <si>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</si>
  <si>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</si>
  <si>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</si>
  <si>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</si>
  <si>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</si>
  <si>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</si>
  <si>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</si>
  <si>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</si>
  <si>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</si>
  <si>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</si>
  <si>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</si>
  <si>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</si>
  <si>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</si>
  <si>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</si>
  <si>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</si>
  <si>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</si>
  <si>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</si>
  <si>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</si>
  <si>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</si>
  <si>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</si>
  <si>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</si>
  <si>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</si>
  <si>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</si>
  <si>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</si>
  <si>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</si>
  <si>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</si>
  <si>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</si>
  <si>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</si>
  <si>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</si>
  <si>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</si>
  <si>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</si>
  <si>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</si>
  <si>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</si>
  <si>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</si>
  <si>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</si>
  <si>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</si>
  <si>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</si>
  <si>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</si>
  <si>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</si>
  <si>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</si>
  <si>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</si>
  <si>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</si>
  <si>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</si>
  <si>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</si>
  <si>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</si>
  <si>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</si>
  <si>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</si>
  <si>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</si>
  <si>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</si>
  <si>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</si>
  <si>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</si>
  <si>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</si>
  <si>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</si>
  <si>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</si>
  <si>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</si>
  <si>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</si>
  <si>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</si>
  <si>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</si>
  <si>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</si>
  <si>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</si>
  <si>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</si>
  <si>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</si>
  <si>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</si>
  <si>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</si>
  <si>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</si>
  <si>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</si>
  <si>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</si>
  <si>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</si>
  <si>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</si>
  <si>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</si>
  <si>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</si>
  <si>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</si>
  <si>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</si>
  <si>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</si>
  <si>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</si>
  <si>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</si>
  <si>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</si>
  <si>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</si>
  <si>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</si>
  <si>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</si>
  <si>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</si>
  <si>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</si>
  <si>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</si>
  <si>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</si>
  <si>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</si>
  <si>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</si>
  <si>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</si>
  <si>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</si>
  <si>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</si>
  <si>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</si>
  <si>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</si>
  <si>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</si>
  <si>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</si>
  <si>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</si>
  <si>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</si>
  <si>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</si>
  <si>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</si>
  <si>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</si>
  <si>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</si>
  <si>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</si>
  <si>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</si>
  <si>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</si>
  <si>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</si>
  <si>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</si>
  <si>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</si>
  <si>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</si>
  <si>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</si>
  <si>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</si>
  <si>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</si>
  <si>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</si>
  <si>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</si>
  <si>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</si>
  <si>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</si>
  <si>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</si>
  <si>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</si>
  <si>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</si>
  <si>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</si>
  <si>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</si>
  <si>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</si>
  <si>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</si>
  <si>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</si>
  <si>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</si>
  <si>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</si>
  <si>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</si>
  <si>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</si>
  <si>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</si>
  <si>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</si>
  <si>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</si>
  <si>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</si>
  <si>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</si>
  <si>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</si>
  <si>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</si>
  <si>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</si>
  <si>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</si>
  <si>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</si>
  <si>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</si>
  <si>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</si>
  <si>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</si>
  <si>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</si>
  <si>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</si>
  <si>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</si>
  <si>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</si>
  <si>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</si>
  <si>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</si>
  <si>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</si>
  <si>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</si>
  <si>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</si>
  <si>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</si>
  <si>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</si>
  <si>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</si>
  <si>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</si>
  <si>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</si>
  <si>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</si>
  <si>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</si>
  <si>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</si>
  <si>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</si>
  <si>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</si>
  <si>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</si>
  <si>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</si>
  <si>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</si>
  <si>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</si>
  <si>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</si>
  <si>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</si>
  <si>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</si>
  <si>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</si>
  <si>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</si>
  <si>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</si>
  <si>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</si>
  <si>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</si>
  <si>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</si>
  <si>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</si>
  <si>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</si>
  <si>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</si>
  <si>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</si>
  <si>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</si>
  <si>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</si>
  <si>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</si>
  <si>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</si>
  <si>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</si>
  <si>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</si>
  <si>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</si>
  <si>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</si>
  <si>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</si>
  <si>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</si>
  <si>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</si>
  <si>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</si>
  <si>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</si>
  <si>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</si>
  <si>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</si>
  <si>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</si>
  <si>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</si>
  <si>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</si>
  <si>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</si>
  <si>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</si>
  <si>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</si>
  <si>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</si>
  <si>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</si>
  <si>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</si>
  <si>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</si>
  <si>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</si>
  <si>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</si>
  <si>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</si>
  <si>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</si>
  <si>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</si>
  <si>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</si>
  <si>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</si>
  <si>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</si>
  <si>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</si>
  <si>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</si>
  <si>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</si>
  <si>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</si>
  <si>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</si>
  <si>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</si>
  <si>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</si>
  <si>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</si>
  <si>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</si>
  <si>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</si>
  <si>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</si>
  <si>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</si>
  <si>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</si>
  <si>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</si>
  <si>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</si>
  <si>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</si>
  <si>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</si>
  <si>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</si>
  <si>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</si>
  <si>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</si>
  <si>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</si>
  <si>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</si>
  <si>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</si>
  <si>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</si>
  <si>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</si>
  <si>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</si>
  <si>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</si>
  <si>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</si>
  <si>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</si>
  <si>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</si>
  <si>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</si>
  <si>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</si>
  <si>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</si>
  <si>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</si>
  <si>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</si>
  <si>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</si>
  <si>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</si>
  <si>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</si>
  <si>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</si>
  <si>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</si>
  <si>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</si>
  <si>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</si>
  <si>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</si>
  <si>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</si>
  <si>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</si>
  <si>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</si>
  <si>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</si>
  <si>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</si>
  <si>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</si>
  <si>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</si>
  <si>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</si>
  <si>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</si>
  <si>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</si>
  <si>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</si>
  <si>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</si>
  <si>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</si>
  <si>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</si>
  <si>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</si>
  <si>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</si>
  <si>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</si>
  <si>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</si>
  <si>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</si>
  <si>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</si>
  <si>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</si>
  <si>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</si>
  <si>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</si>
  <si>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</si>
  <si>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</si>
  <si>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</si>
  <si>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</si>
  <si>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</si>
  <si>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</si>
  <si>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</si>
  <si>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</si>
  <si>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</si>
  <si>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</si>
  <si>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</si>
  <si>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</si>
  <si>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</si>
  <si>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</si>
  <si>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</si>
  <si>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</si>
  <si>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</si>
  <si>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</si>
  <si>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</si>
  <si>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</si>
  <si>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</si>
  <si>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</si>
  <si>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</si>
  <si>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</si>
  <si>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</si>
  <si>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</si>
  <si>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</si>
  <si>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</si>
  <si>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</si>
  <si>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</si>
  <si>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</si>
  <si>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</si>
  <si>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</si>
  <si>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</si>
  <si>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</si>
  <si>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</si>
  <si>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</si>
  <si>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</si>
  <si>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</si>
  <si>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</si>
  <si>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</si>
  <si>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</si>
  <si>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</si>
  <si>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</si>
  <si>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</si>
  <si>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</si>
  <si>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</si>
  <si>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</si>
  <si>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</si>
  <si>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</si>
  <si>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</si>
  <si>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</si>
  <si>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</si>
  <si>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</si>
  <si>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</si>
  <si>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</si>
  <si>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</si>
  <si>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</si>
  <si>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</si>
  <si>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</si>
  <si>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</si>
  <si>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</si>
  <si>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</si>
  <si>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</si>
  <si>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</si>
  <si>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</si>
  <si>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</si>
  <si>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</si>
  <si>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</si>
  <si>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</si>
  <si>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</si>
  <si>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</si>
  <si>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</si>
  <si>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</si>
  <si>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</si>
  <si>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</si>
  <si>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</si>
  <si>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</si>
  <si>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</si>
  <si>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</si>
  <si>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</si>
  <si>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</si>
  <si>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</si>
  <si>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</si>
  <si>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</si>
  <si>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</si>
  <si>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</si>
  <si>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</si>
  <si>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</si>
  <si>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</si>
  <si>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</si>
  <si>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</si>
  <si>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</si>
  <si>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</si>
  <si>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</si>
  <si>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</si>
  <si>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</si>
  <si>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</si>
  <si>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</si>
  <si>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</si>
  <si>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</si>
  <si>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</si>
  <si>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</si>
  <si>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</si>
  <si>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</si>
  <si>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</si>
  <si>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</si>
  <si>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</si>
  <si>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</si>
  <si>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</si>
  <si>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</si>
  <si>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</si>
  <si>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</si>
  <si>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</si>
  <si>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</si>
  <si>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</si>
  <si>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</si>
  <si>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</si>
  <si>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</si>
  <si>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</si>
  <si>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</si>
  <si>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</si>
  <si>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</si>
  <si>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</si>
  <si>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</si>
  <si>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</si>
  <si>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</si>
  <si>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</si>
  <si>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</si>
  <si>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</si>
  <si>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</si>
  <si>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</si>
  <si>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</si>
  <si>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</si>
  <si>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</si>
  <si>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</si>
  <si>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</si>
  <si>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</si>
  <si>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</si>
  <si>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</si>
  <si>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</si>
  <si>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</si>
  <si>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</si>
  <si>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</si>
  <si>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</si>
  <si>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</si>
  <si>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</si>
  <si>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</si>
  <si>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</si>
  <si>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</si>
  <si>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</si>
  <si>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</si>
  <si>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</si>
  <si>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</si>
  <si>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</si>
  <si>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</si>
  <si>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</si>
  <si>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</si>
  <si>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</si>
  <si>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</si>
  <si>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</si>
  <si>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</si>
  <si>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</si>
  <si>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</si>
  <si>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</si>
  <si>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</si>
  <si>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</si>
  <si>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</si>
  <si>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</si>
  <si>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</si>
  <si>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</si>
  <si>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</si>
  <si>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</si>
  <si>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</si>
  <si>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</si>
  <si>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</si>
  <si>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</si>
  <si>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</si>
  <si>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</si>
  <si>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</si>
  <si>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</si>
  <si>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</si>
  <si>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</si>
  <si>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</si>
  <si>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</si>
  <si>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</si>
  <si>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</si>
  <si>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</si>
  <si>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</si>
  <si>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</si>
  <si>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</si>
  <si>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</si>
  <si>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</si>
  <si>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</si>
  <si>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</si>
  <si>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</si>
  <si>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</si>
  <si>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</si>
  <si>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</si>
  <si>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</si>
  <si>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</si>
  <si>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</si>
  <si>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</si>
  <si>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</si>
  <si>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</si>
  <si>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</si>
  <si>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</si>
  <si>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</si>
  <si>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</si>
  <si>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</si>
  <si>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</si>
  <si>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</si>
  <si>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</si>
  <si>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</si>
  <si>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</si>
  <si>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</si>
  <si>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</si>
  <si>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</si>
  <si>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</si>
  <si>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</si>
  <si>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</si>
  <si>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</si>
  <si>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</si>
  <si>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</si>
  <si>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</si>
  <si>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</si>
  <si>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</si>
  <si>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</si>
  <si>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</si>
  <si>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</si>
  <si>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</si>
  <si>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</si>
  <si>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</si>
  <si>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</si>
  <si>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</si>
  <si>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</si>
  <si>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</si>
  <si>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</si>
  <si>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</si>
  <si>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</si>
  <si>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</si>
  <si>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</si>
  <si>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</si>
  <si>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</si>
  <si>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</si>
  <si>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</si>
  <si>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</si>
  <si>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</si>
  <si>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</si>
  <si>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</si>
  <si>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</si>
  <si>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</si>
  <si>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</si>
  <si>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</si>
  <si>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</si>
  <si>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</si>
  <si>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</si>
  <si>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</si>
  <si>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</si>
  <si>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</si>
  <si>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</si>
  <si>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</si>
  <si>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</si>
  <si>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</si>
  <si>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</si>
  <si>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</si>
  <si>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</si>
  <si>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</si>
  <si>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</si>
  <si>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</si>
  <si>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</si>
  <si>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</si>
  <si>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</si>
  <si>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</si>
  <si>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</si>
  <si>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</si>
  <si>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</si>
  <si>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</si>
  <si>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</si>
  <si>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</si>
  <si>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</si>
  <si>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</si>
  <si>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</si>
  <si>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</si>
  <si>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</si>
  <si>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</si>
  <si>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</si>
  <si>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</si>
  <si>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</si>
  <si>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</si>
  <si>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</si>
  <si>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</si>
  <si>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</si>
  <si>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</si>
  <si>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</si>
  <si>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</si>
  <si>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</si>
  <si>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</si>
  <si>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</si>
  <si>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</si>
  <si>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</si>
  <si>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</si>
  <si>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</si>
  <si>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</si>
  <si>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</si>
  <si>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</si>
  <si>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</si>
  <si>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</si>
  <si>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</si>
  <si>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</si>
  <si>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</si>
  <si>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</si>
  <si>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</si>
  <si>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</si>
  <si>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</si>
  <si>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</si>
  <si>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</si>
  <si>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</si>
  <si>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</si>
  <si>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</si>
  <si>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</si>
  <si>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</si>
  <si>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</si>
  <si>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</si>
  <si>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</si>
  <si>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</si>
  <si>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</si>
  <si>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</si>
  <si>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</si>
  <si>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</si>
  <si>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</si>
  <si>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</si>
  <si>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</si>
  <si>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</si>
  <si>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</si>
  <si>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</si>
  <si>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</si>
  <si>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</si>
  <si>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</si>
  <si>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</si>
  <si>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</si>
  <si>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</si>
  <si>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</si>
  <si>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</si>
  <si>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</si>
  <si>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</si>
  <si>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</si>
  <si>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</si>
  <si>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</si>
  <si>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</si>
  <si>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</si>
  <si>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</si>
  <si>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</si>
  <si>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</si>
  <si>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</si>
  <si>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</si>
  <si>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</si>
  <si>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</si>
  <si>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</si>
  <si>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</si>
  <si>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</si>
  <si>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</si>
  <si>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</si>
  <si>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</si>
  <si>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</si>
  <si>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</si>
  <si>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</si>
  <si>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</si>
  <si>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</si>
  <si>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</si>
  <si>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</si>
  <si>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</si>
  <si>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</si>
  <si>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</si>
  <si>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</si>
  <si>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</si>
  <si>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</si>
  <si>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</si>
  <si>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</si>
  <si>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</si>
  <si>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</si>
  <si>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</si>
  <si>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</si>
  <si>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</si>
  <si>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</si>
  <si>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</si>
  <si>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</si>
  <si>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</si>
  <si>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</si>
  <si>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</si>
  <si>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</si>
  <si>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</si>
  <si>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</si>
  <si>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</si>
  <si>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</si>
  <si>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</si>
  <si>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</si>
  <si>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</si>
  <si>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</si>
  <si>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</si>
  <si>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</si>
  <si>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</si>
  <si>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</si>
  <si>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</si>
  <si>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</si>
  <si>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</si>
  <si>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</si>
  <si>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</si>
  <si>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</si>
  <si>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</si>
  <si>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</si>
  <si>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</si>
  <si>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</si>
  <si>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</si>
  <si>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</si>
  <si>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</si>
  <si>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</si>
  <si>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</si>
  <si>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</si>
  <si>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</si>
  <si>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</si>
  <si>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</si>
  <si>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</si>
  <si>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</si>
  <si>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</si>
  <si>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</si>
  <si>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</si>
  <si>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</si>
  <si>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</si>
  <si>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</si>
  <si>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</si>
  <si>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</si>
  <si>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</si>
  <si>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</si>
  <si>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</si>
  <si>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</si>
  <si>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</si>
  <si>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</si>
  <si>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</si>
  <si>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</si>
  <si>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</si>
  <si>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</si>
  <si>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</si>
  <si>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</si>
  <si>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</si>
  <si>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</si>
  <si>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</si>
  <si>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</si>
  <si>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</si>
  <si>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</si>
  <si>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</si>
  <si>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</si>
  <si>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</si>
  <si>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</si>
  <si>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</si>
  <si>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</si>
  <si>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</si>
  <si>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</si>
  <si>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</si>
  <si>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</si>
  <si>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</si>
  <si>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</si>
  <si>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</si>
  <si>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</si>
  <si>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</si>
  <si>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</si>
  <si>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</si>
  <si>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</si>
  <si>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</si>
  <si>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</si>
  <si>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</si>
  <si>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</si>
  <si>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</si>
  <si>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</si>
  <si>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</si>
  <si>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</si>
  <si>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</si>
  <si>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</si>
  <si>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</si>
  <si>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</si>
  <si>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</si>
  <si>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</si>
  <si>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</si>
  <si>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</si>
  <si>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</si>
  <si>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</si>
  <si>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</si>
  <si>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</si>
  <si>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</si>
  <si>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</si>
  <si>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</si>
  <si>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</si>
  <si>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</si>
  <si>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</si>
  <si>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</si>
  <si>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</si>
  <si>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</si>
  <si>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</si>
  <si>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</si>
  <si>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</si>
  <si>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</si>
  <si>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</si>
  <si>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</si>
  <si>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</si>
  <si>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</si>
  <si>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</si>
  <si>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</si>
  <si>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</si>
  <si>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</si>
  <si>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</si>
  <si>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</si>
  <si>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</si>
  <si>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</si>
  <si>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</si>
  <si>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</si>
  <si>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</si>
  <si>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</si>
  <si>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</si>
  <si>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</si>
  <si>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</si>
  <si>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</si>
  <si>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</si>
  <si>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</si>
  <si>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</si>
  <si>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</si>
  <si>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</si>
  <si>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</si>
  <si>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</si>
  <si>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</si>
  <si>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</si>
  <si>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</si>
  <si>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</si>
  <si>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</si>
  <si>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</si>
  <si>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</si>
  <si>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</si>
  <si>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</si>
  <si>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</si>
  <si>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</si>
  <si>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</si>
  <si>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</si>
  <si>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</si>
  <si>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</si>
  <si>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</si>
  <si>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</si>
  <si>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</si>
  <si>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</si>
  <si>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</si>
  <si>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</si>
  <si>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</si>
  <si>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</si>
  <si>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</si>
  <si>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</si>
  <si>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</si>
  <si>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</si>
  <si>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</si>
  <si>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</si>
  <si>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</si>
  <si>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</si>
  <si>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</si>
  <si>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</si>
  <si>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</si>
  <si>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</si>
  <si>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</si>
  <si>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</si>
  <si>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</si>
  <si>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</si>
  <si>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</si>
  <si>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</si>
  <si>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</si>
  <si>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</si>
  <si>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McLean</t>
  </si>
  <si>
    <t>Bloomington Area Career Center</t>
  </si>
  <si>
    <t>300 East Monroe Street</t>
  </si>
  <si>
    <t>Bloomington</t>
  </si>
  <si>
    <t>kellerb@district87.org</t>
  </si>
  <si>
    <t>x</t>
  </si>
  <si>
    <t>Dr. Barry Reilly</t>
  </si>
  <si>
    <t>ManahanC@district87.org</t>
  </si>
  <si>
    <t>309-827-6031</t>
  </si>
  <si>
    <t>309-827-5717</t>
  </si>
  <si>
    <t>Tim C. Custis</t>
  </si>
  <si>
    <t>timcustis@gorenzcpa.com</t>
  </si>
  <si>
    <t>None</t>
  </si>
  <si>
    <t>There were no findings for the year ending June 30, 2018.</t>
  </si>
  <si>
    <t>Bloomington District 87</t>
  </si>
  <si>
    <t>Page 11, Line 106 - 1999 - Reimbursements</t>
  </si>
  <si>
    <t>Page 14, Line 265 - 4999 - Workforce Investments Grant</t>
  </si>
  <si>
    <t>Page 29, Line 80 "PLEASE ENTER CONTRACTS PAID IN THE CURRENT YEAR"</t>
  </si>
  <si>
    <t xml:space="preserve">exceeding the $25,000 limit. </t>
  </si>
  <si>
    <t>See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</si>
</sst>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19CE236-D85E-484D-86CE-8727E397B8A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BD0320BB-AC71-4B6F-A733-6DE8EC269C3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77" t="s">
        <v>405</v>
      </c>
      <c r="J1" s="1978"/>
      <c r="K1" s="1978"/>
      <c r="L1" s="1978"/>
      <c r="M1" s="1978"/>
      <c r="N1" s="1978"/>
      <c r="O1" s="1978"/>
      <c r="P1" s="1978"/>
      <c r="Q1" s="1978"/>
      <c r="R1" s="1978"/>
      <c r="S1" s="1978"/>
    </row>
    <row r="2" spans="1:28" ht="12" customHeight="1" x14ac:dyDescent="0.2">
      <c r="A2" s="47" t="s">
        <v>1993</v>
      </c>
      <c r="D2" s="48"/>
      <c r="I2" s="1979" t="s">
        <v>979</v>
      </c>
      <c r="J2" s="1978"/>
      <c r="K2" s="1978"/>
      <c r="L2" s="1978"/>
      <c r="M2" s="1978"/>
      <c r="N2" s="1978"/>
      <c r="O2" s="1978"/>
      <c r="P2" s="1978"/>
      <c r="Q2" s="1978"/>
      <c r="R2" s="1978"/>
      <c r="S2" s="1978"/>
    </row>
    <row r="3" spans="1:28" ht="12" customHeight="1" x14ac:dyDescent="0.2">
      <c r="A3" s="155" t="s">
        <v>1945</v>
      </c>
      <c r="B3" s="156"/>
      <c r="C3" s="156"/>
      <c r="D3" s="157"/>
      <c r="I3" s="1979" t="s">
        <v>52</v>
      </c>
      <c r="J3" s="1978"/>
      <c r="K3" s="1978"/>
      <c r="L3" s="1978"/>
      <c r="M3" s="1978"/>
      <c r="N3" s="1978"/>
      <c r="O3" s="1978"/>
      <c r="P3" s="1978"/>
      <c r="Q3" s="1978"/>
      <c r="R3" s="1978"/>
      <c r="S3" s="1978"/>
    </row>
    <row r="4" spans="1:28" ht="12" customHeight="1" x14ac:dyDescent="0.2">
      <c r="A4" s="37"/>
      <c r="I4" s="1979" t="s">
        <v>524</v>
      </c>
      <c r="J4" s="1978"/>
      <c r="K4" s="1978"/>
      <c r="L4" s="1978"/>
      <c r="M4" s="1978"/>
      <c r="N4" s="1978"/>
      <c r="O4" s="1978"/>
      <c r="P4" s="1978"/>
      <c r="Q4" s="1978"/>
      <c r="R4" s="1978"/>
      <c r="S4" s="1978"/>
    </row>
    <row r="5" spans="1:28" ht="14.1" customHeight="1" x14ac:dyDescent="0.2">
      <c r="B5" s="104" t="s">
        <v>2070</v>
      </c>
      <c r="C5" s="26" t="s">
        <v>910</v>
      </c>
      <c r="D5" s="84"/>
      <c r="E5" s="84"/>
      <c r="H5" s="38"/>
      <c r="I5" s="1987" t="s">
        <v>680</v>
      </c>
      <c r="J5" s="1986"/>
      <c r="K5" s="1986"/>
      <c r="L5" s="1986"/>
      <c r="M5" s="1986"/>
      <c r="N5" s="1986"/>
      <c r="O5" s="1986"/>
      <c r="P5" s="1986"/>
      <c r="Q5" s="1986"/>
      <c r="R5" s="1986"/>
      <c r="S5" s="1986"/>
    </row>
    <row r="6" spans="1:28" ht="14.1" customHeight="1" x14ac:dyDescent="0.2">
      <c r="B6" s="104"/>
      <c r="C6" s="26" t="s">
        <v>911</v>
      </c>
      <c r="D6" s="84"/>
      <c r="E6" s="84"/>
      <c r="I6" s="1985" t="s">
        <v>883</v>
      </c>
      <c r="J6" s="1986"/>
      <c r="K6" s="1986"/>
      <c r="L6" s="1986"/>
      <c r="M6" s="1986"/>
      <c r="N6" s="1986"/>
      <c r="O6" s="1986"/>
      <c r="P6" s="1986"/>
      <c r="Q6" s="1986"/>
      <c r="R6" s="1986"/>
      <c r="S6" s="1986"/>
    </row>
    <row r="7" spans="1:28" ht="12.2" customHeight="1" x14ac:dyDescent="0.2">
      <c r="I7" s="1980">
        <v>43646</v>
      </c>
      <c r="J7" s="1981"/>
      <c r="K7" s="1981"/>
      <c r="L7" s="1981"/>
      <c r="M7" s="1981"/>
      <c r="N7" s="1981"/>
      <c r="O7" s="1981"/>
      <c r="P7" s="1981"/>
      <c r="Q7" s="1981"/>
      <c r="R7" s="1981"/>
      <c r="S7" s="198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2" t="s">
        <v>674</v>
      </c>
      <c r="J9" s="1983"/>
      <c r="K9" s="1983"/>
      <c r="L9" s="1983"/>
      <c r="M9" s="1983"/>
      <c r="N9" s="1983"/>
      <c r="O9" s="1983"/>
      <c r="P9" s="1983"/>
      <c r="Q9" s="1983"/>
      <c r="R9" s="1983"/>
      <c r="S9" s="1984"/>
      <c r="T9" s="1998" t="s">
        <v>533</v>
      </c>
      <c r="U9" s="1999"/>
      <c r="V9" s="1999"/>
      <c r="W9" s="1999"/>
      <c r="X9" s="1999"/>
      <c r="Y9" s="1999"/>
      <c r="Z9" s="1999"/>
      <c r="AA9" s="2000"/>
    </row>
    <row r="10" spans="1:28" ht="13.5" customHeight="1" x14ac:dyDescent="0.2">
      <c r="A10" s="2005" t="s">
        <v>675</v>
      </c>
      <c r="B10" s="2006"/>
      <c r="C10" s="2006"/>
      <c r="D10" s="2006"/>
      <c r="E10" s="2006"/>
      <c r="F10" s="2006"/>
      <c r="G10" s="2006"/>
      <c r="H10" s="2007"/>
      <c r="I10" s="29"/>
      <c r="J10" s="30"/>
      <c r="K10" s="28"/>
      <c r="R10" s="30"/>
      <c r="S10" s="30"/>
      <c r="T10" s="2001"/>
      <c r="U10" s="1986"/>
      <c r="V10" s="1986"/>
      <c r="W10" s="1986"/>
      <c r="X10" s="1986"/>
      <c r="Y10" s="1986"/>
      <c r="Z10" s="1986"/>
      <c r="AA10" s="1992"/>
    </row>
    <row r="11" spans="1:28" ht="14.25" customHeight="1" x14ac:dyDescent="0.2">
      <c r="A11" s="2008" t="s">
        <v>955</v>
      </c>
      <c r="B11" s="2009"/>
      <c r="C11" s="2009"/>
      <c r="D11" s="2009"/>
      <c r="E11" s="2009"/>
      <c r="F11" s="2009"/>
      <c r="G11" s="2009"/>
      <c r="H11" s="2010"/>
      <c r="I11" s="27"/>
      <c r="J11" s="74"/>
      <c r="K11" s="27"/>
      <c r="O11" s="148" t="s">
        <v>2070</v>
      </c>
      <c r="P11" s="100" t="s">
        <v>201</v>
      </c>
      <c r="Q11" s="30"/>
      <c r="R11" s="28"/>
      <c r="S11" s="27"/>
      <c r="T11" s="2002"/>
      <c r="U11" s="2003"/>
      <c r="V11" s="2003"/>
      <c r="W11" s="2003"/>
      <c r="X11" s="2003"/>
      <c r="Y11" s="2003"/>
      <c r="Z11" s="2003"/>
      <c r="AA11" s="200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2">
        <v>17064087041</v>
      </c>
      <c r="B13" s="2013"/>
      <c r="C13" s="2013"/>
      <c r="D13" s="2013"/>
      <c r="E13" s="2013"/>
      <c r="F13" s="2013"/>
      <c r="G13" s="2013"/>
      <c r="H13" s="2014"/>
      <c r="I13" s="31"/>
      <c r="J13" s="30"/>
      <c r="K13" s="28"/>
      <c r="L13" s="30"/>
      <c r="M13" s="30"/>
      <c r="N13" s="30"/>
      <c r="O13" s="30"/>
      <c r="P13" s="30"/>
      <c r="Q13" s="30"/>
      <c r="R13" s="30"/>
      <c r="S13" s="30"/>
      <c r="T13" s="2017" t="s">
        <v>2072</v>
      </c>
      <c r="U13" s="2018"/>
      <c r="V13" s="2018"/>
      <c r="W13" s="2018"/>
      <c r="X13" s="2018"/>
      <c r="Y13" s="2019"/>
      <c r="Z13" s="2019"/>
      <c r="AA13" s="202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1" t="s">
        <v>2073</v>
      </c>
      <c r="B15" s="2015"/>
      <c r="C15" s="2015"/>
      <c r="D15" s="2015"/>
      <c r="E15" s="2015"/>
      <c r="F15" s="2015"/>
      <c r="G15" s="2015"/>
      <c r="H15" s="2016"/>
      <c r="T15" s="2021" t="s">
        <v>2083</v>
      </c>
      <c r="U15" s="1965"/>
      <c r="V15" s="1965"/>
      <c r="W15" s="1965"/>
      <c r="X15" s="1965"/>
      <c r="Y15" s="2022"/>
      <c r="Z15" s="2022"/>
      <c r="AA15" s="202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1" t="s">
        <v>2074</v>
      </c>
      <c r="B17" s="1972"/>
      <c r="C17" s="1972"/>
      <c r="D17" s="1972"/>
      <c r="E17" s="1972"/>
      <c r="F17" s="1972"/>
      <c r="G17" s="1972"/>
      <c r="H17" s="1997"/>
      <c r="T17" s="2028" t="s">
        <v>2064</v>
      </c>
      <c r="U17" s="2029"/>
      <c r="V17" s="2029"/>
      <c r="W17" s="2029"/>
      <c r="X17" s="2029"/>
      <c r="Y17" s="2029"/>
      <c r="Z17" s="2029"/>
      <c r="AA17" s="2030"/>
    </row>
    <row r="18" spans="1:27" ht="13.5" customHeight="1" x14ac:dyDescent="0.2">
      <c r="A18" s="85" t="s">
        <v>530</v>
      </c>
      <c r="B18" s="76"/>
      <c r="C18" s="72"/>
      <c r="D18" s="76"/>
      <c r="E18" s="76"/>
      <c r="F18" s="76"/>
      <c r="G18" s="76"/>
      <c r="H18" s="56"/>
      <c r="I18" s="1996" t="s">
        <v>676</v>
      </c>
      <c r="J18" s="1947"/>
      <c r="K18" s="1947"/>
      <c r="L18" s="1947"/>
      <c r="M18" s="1947"/>
      <c r="N18" s="1947"/>
      <c r="O18" s="1947"/>
      <c r="P18" s="1947"/>
      <c r="Q18" s="1947"/>
      <c r="R18" s="1947"/>
      <c r="S18" s="1948"/>
      <c r="T18" s="85" t="s">
        <v>711</v>
      </c>
      <c r="U18" s="51"/>
      <c r="V18" s="72"/>
      <c r="W18" s="50"/>
      <c r="X18" s="85" t="s">
        <v>266</v>
      </c>
      <c r="Y18" s="81"/>
      <c r="Z18" s="159" t="s">
        <v>677</v>
      </c>
      <c r="AA18" s="46"/>
    </row>
    <row r="19" spans="1:27" ht="13.5" customHeight="1" x14ac:dyDescent="0.2">
      <c r="A19" s="2011" t="s">
        <v>2075</v>
      </c>
      <c r="B19" s="1957"/>
      <c r="C19" s="1957"/>
      <c r="D19" s="1957"/>
      <c r="E19" s="1957"/>
      <c r="F19" s="1957"/>
      <c r="G19" s="1957"/>
      <c r="H19" s="1937"/>
      <c r="I19" s="30"/>
      <c r="J19" s="99"/>
      <c r="K19" s="40"/>
      <c r="L19" s="38"/>
      <c r="M19" s="112" t="s">
        <v>315</v>
      </c>
      <c r="P19" s="27"/>
      <c r="Q19" s="27"/>
      <c r="R19" s="27"/>
      <c r="S19" s="31"/>
      <c r="T19" s="2011" t="s">
        <v>2065</v>
      </c>
      <c r="U19" s="1936"/>
      <c r="V19" s="1936"/>
      <c r="W19" s="1937"/>
      <c r="X19" s="2026" t="s">
        <v>2066</v>
      </c>
      <c r="Y19" s="2027"/>
      <c r="Z19" s="2024">
        <v>61614</v>
      </c>
      <c r="AA19" s="202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5" t="s">
        <v>2076</v>
      </c>
      <c r="B21" s="1936"/>
      <c r="C21" s="1936"/>
      <c r="D21" s="1936"/>
      <c r="E21" s="1936"/>
      <c r="F21" s="1936"/>
      <c r="G21" s="1936"/>
      <c r="H21" s="1937"/>
      <c r="I21" s="1991" t="s">
        <v>678</v>
      </c>
      <c r="J21" s="1986"/>
      <c r="K21" s="1986"/>
      <c r="L21" s="1986"/>
      <c r="M21" s="1986"/>
      <c r="N21" s="1986"/>
      <c r="O21" s="1986"/>
      <c r="P21" s="1986"/>
      <c r="Q21" s="1986"/>
      <c r="R21" s="1986"/>
      <c r="S21" s="1992"/>
      <c r="T21" s="2035" t="s">
        <v>2067</v>
      </c>
      <c r="U21" s="2036"/>
      <c r="V21" s="2036"/>
      <c r="W21" s="2036"/>
      <c r="X21" s="2041" t="s">
        <v>2068</v>
      </c>
      <c r="Y21" s="2042"/>
      <c r="Z21" s="2042"/>
      <c r="AA21" s="2043"/>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60" t="s">
        <v>1318</v>
      </c>
      <c r="Z22" s="45"/>
      <c r="AA22" s="46"/>
    </row>
    <row r="23" spans="1:27" ht="13.5" customHeight="1" x14ac:dyDescent="0.2">
      <c r="A23" s="1988" t="s">
        <v>2077</v>
      </c>
      <c r="B23" s="1989"/>
      <c r="C23" s="1989"/>
      <c r="D23" s="1989"/>
      <c r="E23" s="1989"/>
      <c r="F23" s="1989"/>
      <c r="G23" s="1989"/>
      <c r="H23" s="1990"/>
      <c r="T23" s="1971" t="s">
        <v>2069</v>
      </c>
      <c r="U23" s="2034"/>
      <c r="V23" s="2034"/>
      <c r="W23" s="2034"/>
      <c r="X23" s="2038">
        <v>44530</v>
      </c>
      <c r="Y23" s="2039"/>
      <c r="Z23" s="2039"/>
      <c r="AA23" s="2040"/>
    </row>
    <row r="24" spans="1:27" ht="14.1" customHeight="1" x14ac:dyDescent="0.2">
      <c r="A24" s="88" t="s">
        <v>677</v>
      </c>
      <c r="B24" s="49"/>
      <c r="C24" s="49"/>
      <c r="D24" s="49"/>
      <c r="E24" s="49"/>
      <c r="F24" s="49"/>
      <c r="G24" s="49"/>
      <c r="H24" s="61"/>
      <c r="J24" s="1958">
        <f>IF(B5="x",IF(AUDITCHECK!D29="AFR form Incomplete.","",IF(AUDITCHECK!D29="Deficit reduction plan is required.","School District must complete a deficit reduction plan in the 2019-2020 Budget",)),"")</f>
        <v>0</v>
      </c>
      <c r="K24" s="1958"/>
      <c r="L24" s="1958"/>
      <c r="M24" s="1958"/>
      <c r="N24" s="1958"/>
      <c r="O24" s="1958"/>
      <c r="P24" s="1958"/>
      <c r="Q24" s="1958"/>
      <c r="R24" s="1958"/>
      <c r="S24" s="1959"/>
      <c r="T24" s="105" t="s">
        <v>531</v>
      </c>
      <c r="U24" s="106"/>
      <c r="V24" s="106"/>
      <c r="W24" s="106"/>
      <c r="X24" s="107"/>
      <c r="Y24" s="107"/>
      <c r="Z24" s="107"/>
      <c r="AA24" s="108"/>
    </row>
    <row r="25" spans="1:27" ht="14.1" customHeight="1" x14ac:dyDescent="0.2">
      <c r="A25" s="1935">
        <v>61701</v>
      </c>
      <c r="B25" s="1936"/>
      <c r="C25" s="1936"/>
      <c r="D25" s="1936"/>
      <c r="E25" s="1936"/>
      <c r="F25" s="1936"/>
      <c r="G25" s="1936"/>
      <c r="H25" s="1937"/>
      <c r="I25" s="113"/>
      <c r="J25" s="1960"/>
      <c r="K25" s="1960"/>
      <c r="L25" s="1960"/>
      <c r="M25" s="1960"/>
      <c r="N25" s="1960"/>
      <c r="O25" s="1960"/>
      <c r="P25" s="1960"/>
      <c r="Q25" s="1960"/>
      <c r="R25" s="1960"/>
      <c r="S25" s="1961"/>
      <c r="T25" s="2031" t="s">
        <v>2084</v>
      </c>
      <c r="U25" s="2032"/>
      <c r="V25" s="2032"/>
      <c r="W25" s="2032"/>
      <c r="X25" s="2032"/>
      <c r="Y25" s="2032"/>
      <c r="Z25" s="2032"/>
      <c r="AA25" s="203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6" t="s">
        <v>1511</v>
      </c>
      <c r="J27" s="1947"/>
      <c r="K27" s="1947"/>
      <c r="L27" s="1947"/>
      <c r="M27" s="1947"/>
      <c r="N27" s="1947"/>
      <c r="O27" s="1947"/>
      <c r="P27" s="1947"/>
      <c r="Q27" s="1947"/>
      <c r="R27" s="1947"/>
      <c r="S27" s="194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2078</v>
      </c>
      <c r="M29" s="40" t="s">
        <v>99</v>
      </c>
      <c r="N29" s="32" t="s">
        <v>1523</v>
      </c>
      <c r="O29" s="32"/>
      <c r="P29" s="32"/>
      <c r="Q29" s="32"/>
      <c r="R29" s="32"/>
      <c r="S29" s="123"/>
      <c r="T29" s="6"/>
      <c r="U29" s="6"/>
      <c r="V29" s="6"/>
      <c r="W29" s="6"/>
      <c r="X29" s="6"/>
      <c r="Y29" s="6"/>
      <c r="Z29" s="6"/>
      <c r="AA29" s="132"/>
    </row>
    <row r="30" spans="1:27" ht="13.5" customHeight="1" x14ac:dyDescent="0.2">
      <c r="A30" s="153"/>
      <c r="B30" s="136" t="s">
        <v>2078</v>
      </c>
      <c r="C30" s="124" t="s">
        <v>1164</v>
      </c>
      <c r="D30" s="28"/>
      <c r="E30" s="28"/>
      <c r="F30" s="140"/>
      <c r="G30" s="114"/>
      <c r="H30" s="114"/>
      <c r="I30" s="54"/>
      <c r="J30" s="102"/>
      <c r="K30" s="28" t="s">
        <v>576</v>
      </c>
      <c r="L30" s="148" t="s">
        <v>2078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7"/>
      <c r="Q35" s="1936"/>
      <c r="R35" s="193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1" t="s">
        <v>2079</v>
      </c>
      <c r="B38" s="1972"/>
      <c r="C38" s="1972"/>
      <c r="D38" s="1972"/>
      <c r="E38" s="1972"/>
      <c r="F38" s="1936"/>
      <c r="G38" s="1936"/>
      <c r="H38" s="1937"/>
      <c r="I38" s="1964"/>
      <c r="J38" s="1965"/>
      <c r="K38" s="1965"/>
      <c r="L38" s="1965"/>
      <c r="M38" s="1965"/>
      <c r="N38" s="1965"/>
      <c r="O38" s="1965"/>
      <c r="P38" s="1966"/>
      <c r="Q38" s="1966"/>
      <c r="R38" s="1966"/>
      <c r="S38" s="1967"/>
      <c r="T38" s="2021"/>
      <c r="U38" s="1965"/>
      <c r="V38" s="1965"/>
      <c r="W38" s="1965"/>
      <c r="X38" s="1966"/>
      <c r="Y38" s="1966"/>
      <c r="Z38" s="1966"/>
      <c r="AA38" s="1967"/>
    </row>
    <row r="39" spans="1:27" ht="12" customHeight="1" x14ac:dyDescent="0.2">
      <c r="A39" s="1941" t="s">
        <v>531</v>
      </c>
      <c r="B39" s="1942"/>
      <c r="C39" s="72"/>
      <c r="D39" s="69"/>
      <c r="E39" s="69"/>
      <c r="F39" s="79"/>
      <c r="G39" s="69"/>
      <c r="H39" s="56"/>
      <c r="I39" s="1941" t="s">
        <v>531</v>
      </c>
      <c r="J39" s="1942"/>
      <c r="K39" s="1942"/>
      <c r="L39" s="1942"/>
      <c r="M39" s="1942"/>
      <c r="N39" s="67"/>
      <c r="O39" s="72"/>
      <c r="P39" s="72"/>
      <c r="Q39" s="78"/>
      <c r="R39" s="72"/>
      <c r="S39" s="56"/>
      <c r="T39" s="72" t="s">
        <v>531</v>
      </c>
      <c r="U39" s="51"/>
      <c r="V39" s="72"/>
      <c r="W39" s="50"/>
      <c r="X39" s="78"/>
      <c r="Y39" s="45"/>
      <c r="Z39" s="45"/>
      <c r="AA39" s="46"/>
    </row>
    <row r="40" spans="1:27" ht="13.5" customHeight="1" x14ac:dyDescent="0.2">
      <c r="A40" s="1949" t="s">
        <v>2080</v>
      </c>
      <c r="B40" s="1950"/>
      <c r="C40" s="1951"/>
      <c r="D40" s="1951"/>
      <c r="E40" s="1951"/>
      <c r="F40" s="1952"/>
      <c r="G40" s="1952"/>
      <c r="H40" s="1953"/>
      <c r="I40" s="1974"/>
      <c r="J40" s="1975"/>
      <c r="K40" s="1975"/>
      <c r="L40" s="1975"/>
      <c r="M40" s="1975"/>
      <c r="N40" s="1975"/>
      <c r="O40" s="1975"/>
      <c r="P40" s="1975"/>
      <c r="Q40" s="1975"/>
      <c r="R40" s="1975"/>
      <c r="S40" s="1976"/>
      <c r="T40" s="1974"/>
      <c r="U40" s="2037"/>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3" t="s">
        <v>2081</v>
      </c>
      <c r="B42" s="1955"/>
      <c r="C42" s="1956"/>
      <c r="D42" s="1954" t="s">
        <v>2082</v>
      </c>
      <c r="E42" s="1955"/>
      <c r="F42" s="1955"/>
      <c r="G42" s="1955"/>
      <c r="H42" s="1956"/>
      <c r="I42" s="1938"/>
      <c r="J42" s="1939"/>
      <c r="K42" s="1939"/>
      <c r="L42" s="1939"/>
      <c r="M42" s="1939"/>
      <c r="N42" s="1939"/>
      <c r="O42" s="1940"/>
      <c r="P42" s="1973"/>
      <c r="Q42" s="1939"/>
      <c r="R42" s="1939"/>
      <c r="S42" s="1940"/>
      <c r="T42" s="1938"/>
      <c r="U42" s="1939"/>
      <c r="V42" s="1939"/>
      <c r="W42" s="1940"/>
      <c r="X42" s="1973"/>
      <c r="Y42" s="1939"/>
      <c r="Z42" s="1939"/>
      <c r="AA42" s="194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8"/>
      <c r="B44" s="1969"/>
      <c r="C44" s="1969"/>
      <c r="D44" s="1969"/>
      <c r="E44" s="1969"/>
      <c r="F44" s="1969"/>
      <c r="G44" s="1969"/>
      <c r="H44" s="1970"/>
      <c r="I44" s="1943"/>
      <c r="J44" s="1944"/>
      <c r="K44" s="1944"/>
      <c r="L44" s="1944"/>
      <c r="M44" s="1944"/>
      <c r="N44" s="1944"/>
      <c r="O44" s="1944"/>
      <c r="P44" s="1944"/>
      <c r="Q44" s="1944"/>
      <c r="R44" s="1944"/>
      <c r="S44" s="1945"/>
      <c r="T44" s="1943"/>
      <c r="U44" s="1962"/>
      <c r="V44" s="1962"/>
      <c r="W44" s="1962"/>
      <c r="X44" s="1962"/>
      <c r="Y44" s="1962"/>
      <c r="Z44" s="1944"/>
      <c r="AA44" s="194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7" t="s">
        <v>1802</v>
      </c>
      <c r="B2" s="1525" t="s">
        <v>1951</v>
      </c>
      <c r="C2" s="711" t="s">
        <v>1952</v>
      </c>
      <c r="D2" s="711" t="s">
        <v>1953</v>
      </c>
      <c r="E2" s="711" t="s">
        <v>1954</v>
      </c>
      <c r="F2" s="711" t="s">
        <v>1955</v>
      </c>
    </row>
    <row r="3" spans="1:6" ht="12" customHeight="1" x14ac:dyDescent="0.2">
      <c r="A3" s="2178"/>
      <c r="B3" s="1522"/>
      <c r="C3" s="1523"/>
      <c r="D3" s="1524" t="s">
        <v>256</v>
      </c>
      <c r="E3" s="1523"/>
      <c r="F3" s="1524" t="s">
        <v>257</v>
      </c>
    </row>
    <row r="4" spans="1:6" ht="13.7" customHeight="1" x14ac:dyDescent="0.2">
      <c r="A4" s="712" t="s">
        <v>1155</v>
      </c>
      <c r="B4" s="1746">
        <f>'Revenues 9-14'!C5</f>
        <v>0</v>
      </c>
      <c r="C4" s="1521"/>
      <c r="D4" s="1749">
        <f>B4-C4</f>
        <v>0</v>
      </c>
      <c r="E4" s="1521"/>
      <c r="F4" s="1749">
        <f>E4-C4</f>
        <v>0</v>
      </c>
    </row>
    <row r="5" spans="1:6" ht="13.7" customHeight="1" x14ac:dyDescent="0.2">
      <c r="A5" s="712" t="s">
        <v>870</v>
      </c>
      <c r="B5" s="1747">
        <f>'Revenues 9-14'!D5</f>
        <v>0</v>
      </c>
      <c r="C5" s="582"/>
      <c r="D5" s="1750">
        <f t="shared" ref="D5:D18" si="0">B5-C5</f>
        <v>0</v>
      </c>
      <c r="E5" s="582"/>
      <c r="F5" s="1750">
        <f>E5-C5</f>
        <v>0</v>
      </c>
    </row>
    <row r="6" spans="1:6" ht="13.7" customHeight="1" x14ac:dyDescent="0.2">
      <c r="A6" s="712" t="s">
        <v>411</v>
      </c>
      <c r="B6" s="1747">
        <f>'Revenues 9-14'!E5</f>
        <v>0</v>
      </c>
      <c r="C6" s="582"/>
      <c r="D6" s="1750">
        <f t="shared" si="0"/>
        <v>0</v>
      </c>
      <c r="E6" s="582"/>
      <c r="F6" s="1750">
        <f t="shared" ref="F6:F18" si="1">E6-C6</f>
        <v>0</v>
      </c>
    </row>
    <row r="7" spans="1:6" ht="13.7" customHeight="1" x14ac:dyDescent="0.2">
      <c r="A7" s="712" t="s">
        <v>155</v>
      </c>
      <c r="B7" s="1747">
        <f>'Revenues 9-14'!F5</f>
        <v>0</v>
      </c>
      <c r="C7" s="582"/>
      <c r="D7" s="1750">
        <f t="shared" si="0"/>
        <v>0</v>
      </c>
      <c r="E7" s="582"/>
      <c r="F7" s="1750">
        <f t="shared" si="1"/>
        <v>0</v>
      </c>
    </row>
    <row r="8" spans="1:6" ht="13.7" customHeight="1" x14ac:dyDescent="0.2">
      <c r="A8" s="712" t="s">
        <v>1179</v>
      </c>
      <c r="B8" s="1747">
        <f>'Revenues 9-14'!G5</f>
        <v>0</v>
      </c>
      <c r="C8" s="582"/>
      <c r="D8" s="1750">
        <f t="shared" si="0"/>
        <v>0</v>
      </c>
      <c r="E8" s="582"/>
      <c r="F8" s="1750">
        <f t="shared" si="1"/>
        <v>0</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0</v>
      </c>
      <c r="C10" s="582"/>
      <c r="D10" s="1750">
        <f t="shared" si="0"/>
        <v>0</v>
      </c>
      <c r="E10" s="582"/>
      <c r="F10" s="1750">
        <f t="shared" si="1"/>
        <v>0</v>
      </c>
    </row>
    <row r="11" spans="1:6" x14ac:dyDescent="0.2">
      <c r="A11" s="712" t="s">
        <v>409</v>
      </c>
      <c r="B11" s="1747">
        <f>'Revenues 9-14'!J5</f>
        <v>0</v>
      </c>
      <c r="C11" s="582"/>
      <c r="D11" s="1750">
        <f t="shared" si="0"/>
        <v>0</v>
      </c>
      <c r="E11" s="582"/>
      <c r="F11" s="1750">
        <f t="shared" si="1"/>
        <v>0</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0</v>
      </c>
      <c r="C14" s="582"/>
      <c r="D14" s="1750">
        <f t="shared" si="0"/>
        <v>0</v>
      </c>
      <c r="E14" s="582"/>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0</v>
      </c>
      <c r="C16" s="582"/>
      <c r="D16" s="1750">
        <f t="shared" si="0"/>
        <v>0</v>
      </c>
      <c r="E16" s="582"/>
      <c r="F16" s="1750">
        <f t="shared" si="1"/>
        <v>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0</v>
      </c>
      <c r="C19" s="1748">
        <f>SUM(C4:C18)</f>
        <v>0</v>
      </c>
      <c r="D19" s="1748">
        <f>SUM(D4:D18)</f>
        <v>0</v>
      </c>
      <c r="E19" s="1748">
        <f>SUM(E4:E18)</f>
        <v>0</v>
      </c>
      <c r="F19" s="1748">
        <f>SUM(F4:F18)</f>
        <v>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629</v>
      </c>
      <c r="B1" s="2197"/>
      <c r="C1" s="718"/>
    </row>
    <row r="2" spans="1:7" ht="33.75" x14ac:dyDescent="0.2">
      <c r="A2" s="2204" t="s">
        <v>1802</v>
      </c>
      <c r="B2" s="2205"/>
      <c r="C2" s="1881" t="s">
        <v>1956</v>
      </c>
      <c r="D2" s="720" t="s">
        <v>1957</v>
      </c>
      <c r="E2" s="720" t="s">
        <v>1958</v>
      </c>
      <c r="F2" s="1881" t="s">
        <v>1959</v>
      </c>
    </row>
    <row r="3" spans="1:7" ht="15.75" customHeight="1" x14ac:dyDescent="0.2">
      <c r="A3" s="2206" t="s">
        <v>1114</v>
      </c>
      <c r="B3" s="2207"/>
      <c r="C3" s="2200"/>
      <c r="D3" s="2201"/>
      <c r="E3" s="2201"/>
      <c r="F3" s="2202"/>
    </row>
    <row r="4" spans="1:7" ht="12.75" customHeight="1" thickBot="1" x14ac:dyDescent="0.25">
      <c r="A4" s="2194" t="s">
        <v>630</v>
      </c>
      <c r="B4" s="2195"/>
      <c r="C4" s="578"/>
      <c r="D4" s="578"/>
      <c r="E4" s="578"/>
      <c r="F4" s="1752">
        <f>SUM(C4+D4)-E4</f>
        <v>0</v>
      </c>
    </row>
    <row r="5" spans="1:7" ht="15.75" customHeight="1" thickTop="1" x14ac:dyDescent="0.2">
      <c r="A5" s="2198" t="s">
        <v>1110</v>
      </c>
      <c r="B5" s="2193"/>
      <c r="C5" s="2187"/>
      <c r="D5" s="2188"/>
      <c r="E5" s="2188"/>
      <c r="F5" s="2189"/>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0" t="s">
        <v>631</v>
      </c>
      <c r="B15" s="2191"/>
      <c r="C15" s="1752">
        <f>SUM(C6:C14)</f>
        <v>0</v>
      </c>
      <c r="D15" s="1752">
        <f>SUM(D6:D14)</f>
        <v>0</v>
      </c>
      <c r="E15" s="1752">
        <f>SUM(E6:E14)</f>
        <v>0</v>
      </c>
      <c r="F15" s="1752">
        <f>SUM(F6:F14)</f>
        <v>0</v>
      </c>
      <c r="G15" s="549"/>
    </row>
    <row r="16" spans="1:7" s="202" customFormat="1" ht="15.75" customHeight="1" thickTop="1" x14ac:dyDescent="0.2">
      <c r="A16" s="2203" t="s">
        <v>1111</v>
      </c>
      <c r="B16" s="2193"/>
      <c r="C16" s="2187"/>
      <c r="D16" s="2188"/>
      <c r="E16" s="2188"/>
      <c r="F16" s="2189"/>
    </row>
    <row r="17" spans="1:11" ht="12.75" customHeight="1" thickBot="1" x14ac:dyDescent="0.25">
      <c r="A17" s="2185" t="s">
        <v>64</v>
      </c>
      <c r="B17" s="2186"/>
      <c r="C17" s="723"/>
      <c r="D17" s="582"/>
      <c r="E17" s="723"/>
      <c r="F17" s="1752">
        <f>SUM(C17+D17)-E17</f>
        <v>0</v>
      </c>
    </row>
    <row r="18" spans="1:11" ht="12.75" customHeight="1" thickTop="1" thickBot="1" x14ac:dyDescent="0.25">
      <c r="A18" s="2185" t="s">
        <v>6</v>
      </c>
      <c r="B18" s="2186"/>
      <c r="C18" s="723"/>
      <c r="D18" s="582"/>
      <c r="E18" s="723"/>
      <c r="F18" s="1752">
        <f>SUM(C18+D18)-E18</f>
        <v>0</v>
      </c>
    </row>
    <row r="19" spans="1:11" ht="12.75" customHeight="1" thickTop="1" thickBot="1" x14ac:dyDescent="0.25">
      <c r="A19" s="2185" t="s">
        <v>388</v>
      </c>
      <c r="B19" s="2186"/>
      <c r="C19" s="723"/>
      <c r="D19" s="582"/>
      <c r="E19" s="723"/>
      <c r="F19" s="1752">
        <f>SUM(C19+D19)-E19</f>
        <v>0</v>
      </c>
    </row>
    <row r="20" spans="1:11" ht="12.75" customHeight="1" thickTop="1" thickBot="1" x14ac:dyDescent="0.25">
      <c r="A20" s="2185" t="s">
        <v>448</v>
      </c>
      <c r="B20" s="2186"/>
      <c r="C20" s="723"/>
      <c r="D20" s="582"/>
      <c r="E20" s="723"/>
      <c r="F20" s="1752">
        <f>SUM(C20+D20)-E20</f>
        <v>0</v>
      </c>
    </row>
    <row r="21" spans="1:11" ht="14.25" thickTop="1" thickBot="1" x14ac:dyDescent="0.25">
      <c r="A21" s="2190" t="s">
        <v>632</v>
      </c>
      <c r="B21" s="2191"/>
      <c r="C21" s="1752">
        <f>SUM(C17:C20)</f>
        <v>0</v>
      </c>
      <c r="D21" s="1752">
        <f>SUM(D17:D20)</f>
        <v>0</v>
      </c>
      <c r="E21" s="1752">
        <f>SUM(E17:E20)</f>
        <v>0</v>
      </c>
      <c r="F21" s="1752">
        <f>SUM(F17:F20)</f>
        <v>0</v>
      </c>
      <c r="G21" s="549"/>
    </row>
    <row r="22" spans="1:11" ht="15.75" customHeight="1" thickTop="1" x14ac:dyDescent="0.2">
      <c r="A22" s="2192" t="s">
        <v>1112</v>
      </c>
      <c r="B22" s="2193"/>
      <c r="C22" s="2187"/>
      <c r="D22" s="2188"/>
      <c r="E22" s="2188"/>
      <c r="F22" s="2189"/>
    </row>
    <row r="23" spans="1:11" ht="13.5" thickBot="1" x14ac:dyDescent="0.25">
      <c r="A23" s="2194" t="s">
        <v>633</v>
      </c>
      <c r="B23" s="2195"/>
      <c r="C23" s="578"/>
      <c r="D23" s="578"/>
      <c r="E23" s="578"/>
      <c r="F23" s="1752">
        <f>SUM(C23+D23)-E23</f>
        <v>0</v>
      </c>
      <c r="G23" s="549"/>
    </row>
    <row r="24" spans="1:11" ht="15.75" customHeight="1" thickTop="1" x14ac:dyDescent="0.2">
      <c r="A24" s="2192" t="s">
        <v>1113</v>
      </c>
      <c r="B24" s="2193"/>
      <c r="C24" s="2187"/>
      <c r="D24" s="2188"/>
      <c r="E24" s="2188"/>
      <c r="F24" s="2189"/>
    </row>
    <row r="25" spans="1:11" ht="13.5" thickBot="1" x14ac:dyDescent="0.25">
      <c r="A25" s="2194" t="s">
        <v>634</v>
      </c>
      <c r="B25" s="2195"/>
      <c r="C25" s="578"/>
      <c r="D25" s="578"/>
      <c r="E25" s="578"/>
      <c r="F25" s="1752">
        <f>SUM(C25+D25)-E25</f>
        <v>0</v>
      </c>
      <c r="G25" s="549"/>
    </row>
    <row r="26" spans="1:11" ht="15.75" customHeight="1" thickTop="1" x14ac:dyDescent="0.2">
      <c r="A26" s="2198" t="s">
        <v>657</v>
      </c>
      <c r="B26" s="2193"/>
      <c r="C26" s="724"/>
      <c r="D26" s="724"/>
      <c r="E26" s="724"/>
      <c r="F26" s="725"/>
    </row>
    <row r="27" spans="1:11" ht="13.5" thickBot="1" x14ac:dyDescent="0.25">
      <c r="A27" s="2190" t="s">
        <v>1070</v>
      </c>
      <c r="B27" s="2191"/>
      <c r="C27" s="582"/>
      <c r="D27" s="582"/>
      <c r="E27" s="582"/>
      <c r="F27" s="1752">
        <f>SUM(C27+D27)-E27</f>
        <v>0</v>
      </c>
      <c r="G27" s="549"/>
    </row>
    <row r="28" spans="1:11" ht="7.5" customHeight="1" thickTop="1" x14ac:dyDescent="0.2">
      <c r="A28" s="590"/>
    </row>
    <row r="29" spans="1:11" ht="23.25" customHeight="1" x14ac:dyDescent="0.2">
      <c r="A29" s="2196" t="s">
        <v>582</v>
      </c>
      <c r="B29" s="2197"/>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79" t="s">
        <v>584</v>
      </c>
      <c r="C52" s="2180"/>
      <c r="D52" s="2180"/>
      <c r="E52" s="746" t="s">
        <v>845</v>
      </c>
      <c r="F52" s="2181"/>
      <c r="G52" s="2182"/>
      <c r="H52" s="733"/>
      <c r="I52" s="733"/>
      <c r="J52" s="743"/>
    </row>
    <row r="53" spans="1:11" ht="11.25" customHeight="1" x14ac:dyDescent="0.2">
      <c r="A53" s="747" t="s">
        <v>913</v>
      </c>
      <c r="B53" s="748" t="s">
        <v>951</v>
      </c>
      <c r="C53" s="743"/>
      <c r="D53" s="734"/>
      <c r="E53" s="746" t="s">
        <v>497</v>
      </c>
      <c r="F53" s="2183"/>
      <c r="G53" s="2184"/>
      <c r="H53" s="733"/>
      <c r="I53" s="733"/>
      <c r="J53" s="743"/>
    </row>
    <row r="54" spans="1:11" ht="11.25" customHeight="1" x14ac:dyDescent="0.2">
      <c r="A54" s="749" t="s">
        <v>914</v>
      </c>
      <c r="B54" s="744" t="s">
        <v>952</v>
      </c>
      <c r="C54" s="743"/>
      <c r="D54" s="734"/>
      <c r="E54" s="746" t="s">
        <v>498</v>
      </c>
      <c r="F54" s="2183"/>
      <c r="G54" s="218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8" t="s">
        <v>856</v>
      </c>
      <c r="B1" s="2209"/>
      <c r="C1" s="2209"/>
      <c r="D1" s="2209"/>
      <c r="E1" s="2209"/>
      <c r="F1" s="2209"/>
      <c r="G1" s="2210"/>
      <c r="H1" s="1527"/>
      <c r="I1" s="757"/>
      <c r="J1" s="433"/>
    </row>
    <row r="2" spans="1:11" ht="26.25" x14ac:dyDescent="0.2">
      <c r="A2" s="2227" t="s">
        <v>1677</v>
      </c>
      <c r="B2" s="2228"/>
      <c r="C2" s="2228"/>
      <c r="D2" s="2228"/>
      <c r="E2" s="2229"/>
      <c r="F2" s="758" t="s">
        <v>904</v>
      </c>
      <c r="G2" s="759" t="s">
        <v>1674</v>
      </c>
      <c r="H2" s="759" t="s">
        <v>410</v>
      </c>
      <c r="I2" s="759" t="s">
        <v>1158</v>
      </c>
      <c r="J2" s="759" t="s">
        <v>1812</v>
      </c>
      <c r="K2" s="759" t="s">
        <v>138</v>
      </c>
    </row>
    <row r="3" spans="1:11" x14ac:dyDescent="0.2">
      <c r="A3" s="2230" t="s">
        <v>1964</v>
      </c>
      <c r="B3" s="2231"/>
      <c r="C3" s="2231"/>
      <c r="D3" s="2231"/>
      <c r="E3" s="2232"/>
      <c r="F3" s="760"/>
      <c r="G3" s="761"/>
      <c r="H3" s="761"/>
      <c r="I3" s="761"/>
      <c r="J3" s="762"/>
      <c r="K3" s="762"/>
    </row>
    <row r="4" spans="1:11" x14ac:dyDescent="0.2">
      <c r="A4" s="2233" t="s">
        <v>369</v>
      </c>
      <c r="B4" s="2234"/>
      <c r="C4" s="2234"/>
      <c r="D4" s="2234"/>
      <c r="E4" s="2180"/>
      <c r="F4" s="763"/>
      <c r="G4" s="764"/>
      <c r="H4" s="765"/>
      <c r="I4" s="764"/>
      <c r="J4" s="766"/>
      <c r="K4" s="766"/>
    </row>
    <row r="5" spans="1:11" x14ac:dyDescent="0.2">
      <c r="A5" s="2211" t="s">
        <v>1069</v>
      </c>
      <c r="B5" s="2212"/>
      <c r="C5" s="2212"/>
      <c r="D5" s="2212"/>
      <c r="E5" s="2213"/>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11" t="s">
        <v>1813</v>
      </c>
      <c r="B10" s="2212"/>
      <c r="C10" s="2212"/>
      <c r="D10" s="2212"/>
      <c r="E10" s="2214"/>
      <c r="F10" s="780" t="s">
        <v>862</v>
      </c>
      <c r="G10" s="779"/>
      <c r="H10" s="781"/>
      <c r="I10" s="761"/>
      <c r="J10" s="762"/>
      <c r="K10" s="762"/>
    </row>
    <row r="11" spans="1:11" x14ac:dyDescent="0.2">
      <c r="A11" s="2211" t="s">
        <v>160</v>
      </c>
      <c r="B11" s="2212"/>
      <c r="C11" s="2212"/>
      <c r="D11" s="2212"/>
      <c r="E11" s="2213"/>
      <c r="F11" s="767" t="s">
        <v>852</v>
      </c>
      <c r="G11" s="768"/>
      <c r="H11" s="761"/>
      <c r="I11" s="761"/>
      <c r="J11" s="762"/>
      <c r="K11" s="770"/>
    </row>
    <row r="12" spans="1:11" ht="13.5" thickBot="1" x14ac:dyDescent="0.25">
      <c r="A12" s="2238" t="s">
        <v>905</v>
      </c>
      <c r="B12" s="2239"/>
      <c r="C12" s="2239"/>
      <c r="D12" s="2239"/>
      <c r="E12" s="2240"/>
      <c r="F12" s="1754"/>
      <c r="G12" s="1755">
        <f>SUM(G5:G11)</f>
        <v>0</v>
      </c>
      <c r="H12" s="1755">
        <f>SUM(H5:H11)</f>
        <v>0</v>
      </c>
      <c r="I12" s="1755">
        <f>SUM(I5:I11)</f>
        <v>0</v>
      </c>
      <c r="J12" s="1755">
        <f>SUM(J5:J11)</f>
        <v>0</v>
      </c>
      <c r="K12" s="1755">
        <f>SUM(K5:K11)</f>
        <v>0</v>
      </c>
    </row>
    <row r="13" spans="1:11" ht="13.5" thickTop="1" x14ac:dyDescent="0.2">
      <c r="A13" s="2235" t="s">
        <v>370</v>
      </c>
      <c r="B13" s="2236"/>
      <c r="C13" s="2236"/>
      <c r="D13" s="2236"/>
      <c r="E13" s="2237"/>
      <c r="F13" s="782"/>
      <c r="G13" s="783"/>
      <c r="H13" s="784"/>
      <c r="I13" s="785"/>
      <c r="J13" s="785"/>
      <c r="K13" s="785"/>
    </row>
    <row r="14" spans="1:11" x14ac:dyDescent="0.2">
      <c r="A14" s="2218" t="s">
        <v>456</v>
      </c>
      <c r="B14" s="2218"/>
      <c r="C14" s="2218"/>
      <c r="D14" s="2218"/>
      <c r="E14" s="2219"/>
      <c r="F14" s="786" t="s">
        <v>854</v>
      </c>
      <c r="G14" s="779"/>
      <c r="H14" s="761"/>
      <c r="I14" s="768"/>
      <c r="J14" s="770"/>
      <c r="K14" s="762"/>
    </row>
    <row r="15" spans="1:11" x14ac:dyDescent="0.2">
      <c r="A15" s="2212" t="s">
        <v>4</v>
      </c>
      <c r="B15" s="2212"/>
      <c r="C15" s="2212"/>
      <c r="D15" s="2212"/>
      <c r="E15" s="2213"/>
      <c r="F15" s="786" t="s">
        <v>855</v>
      </c>
      <c r="G15" s="768"/>
      <c r="H15" s="761"/>
      <c r="I15" s="761"/>
      <c r="J15" s="762"/>
      <c r="K15" s="762"/>
    </row>
    <row r="16" spans="1:11" x14ac:dyDescent="0.2">
      <c r="A16" s="2212" t="s">
        <v>298</v>
      </c>
      <c r="B16" s="2212"/>
      <c r="C16" s="2212"/>
      <c r="D16" s="2212"/>
      <c r="E16" s="2213"/>
      <c r="F16" s="786" t="s">
        <v>923</v>
      </c>
      <c r="G16" s="769"/>
      <c r="H16" s="764"/>
      <c r="I16" s="764"/>
      <c r="J16" s="766"/>
      <c r="K16" s="766"/>
    </row>
    <row r="17" spans="1:11" x14ac:dyDescent="0.2">
      <c r="A17" s="2243" t="s">
        <v>935</v>
      </c>
      <c r="B17" s="2243"/>
      <c r="C17" s="2243"/>
      <c r="D17" s="2243"/>
      <c r="E17" s="2244"/>
      <c r="F17" s="787"/>
      <c r="G17" s="788"/>
      <c r="H17" s="789"/>
      <c r="I17" s="789"/>
      <c r="J17" s="790"/>
      <c r="K17" s="791"/>
    </row>
    <row r="18" spans="1:11" x14ac:dyDescent="0.2">
      <c r="A18" s="2222" t="s">
        <v>368</v>
      </c>
      <c r="B18" s="2223"/>
      <c r="C18" s="2223"/>
      <c r="D18" s="2223"/>
      <c r="E18" s="2224"/>
      <c r="F18" s="786" t="s">
        <v>932</v>
      </c>
      <c r="G18" s="779"/>
      <c r="H18" s="779"/>
      <c r="I18" s="779"/>
      <c r="J18" s="762"/>
      <c r="K18" s="792"/>
    </row>
    <row r="19" spans="1:11" ht="21.75" customHeight="1" x14ac:dyDescent="0.2">
      <c r="A19" s="2220" t="s">
        <v>1809</v>
      </c>
      <c r="B19" s="2220"/>
      <c r="C19" s="2220"/>
      <c r="D19" s="2220"/>
      <c r="E19" s="2221"/>
      <c r="F19" s="786" t="s">
        <v>933</v>
      </c>
      <c r="G19" s="779"/>
      <c r="H19" s="779"/>
      <c r="I19" s="779"/>
      <c r="J19" s="762"/>
      <c r="K19" s="792"/>
    </row>
    <row r="20" spans="1:11" x14ac:dyDescent="0.2">
      <c r="A20" s="2222" t="s">
        <v>1814</v>
      </c>
      <c r="B20" s="2223"/>
      <c r="C20" s="2223"/>
      <c r="D20" s="2223"/>
      <c r="E20" s="2224"/>
      <c r="F20" s="786" t="s">
        <v>934</v>
      </c>
      <c r="G20" s="779"/>
      <c r="H20" s="779"/>
      <c r="I20" s="779"/>
      <c r="J20" s="762"/>
      <c r="K20" s="792"/>
    </row>
    <row r="21" spans="1:11" ht="13.5" thickBot="1" x14ac:dyDescent="0.25">
      <c r="A21" s="2241" t="s">
        <v>638</v>
      </c>
      <c r="B21" s="2241"/>
      <c r="C21" s="2241"/>
      <c r="D21" s="2241"/>
      <c r="E21" s="2241"/>
      <c r="F21" s="1756"/>
      <c r="G21" s="789"/>
      <c r="H21" s="793"/>
      <c r="I21" s="793"/>
      <c r="J21" s="1757">
        <f>SUM(J18:J20)</f>
        <v>0</v>
      </c>
      <c r="K21" s="790"/>
    </row>
    <row r="22" spans="1:11" ht="13.5" thickTop="1" x14ac:dyDescent="0.2">
      <c r="A22" s="2212" t="s">
        <v>1815</v>
      </c>
      <c r="B22" s="2212"/>
      <c r="C22" s="2212"/>
      <c r="D22" s="2212"/>
      <c r="E22" s="2213"/>
      <c r="F22" s="786" t="s">
        <v>862</v>
      </c>
      <c r="G22" s="779"/>
      <c r="H22" s="761"/>
      <c r="I22" s="761"/>
      <c r="J22" s="794"/>
      <c r="K22" s="762"/>
    </row>
    <row r="23" spans="1:11" ht="13.5" thickBot="1" x14ac:dyDescent="0.25">
      <c r="A23" s="2242" t="s">
        <v>906</v>
      </c>
      <c r="B23" s="2241"/>
      <c r="C23" s="2241"/>
      <c r="D23" s="2241"/>
      <c r="E23" s="2241"/>
      <c r="F23" s="1758"/>
      <c r="G23" s="1755">
        <f>SUM(G14:G16,G21,G22)</f>
        <v>0</v>
      </c>
      <c r="H23" s="1755">
        <f>SUM(H14:H16,H21,H22)</f>
        <v>0</v>
      </c>
      <c r="I23" s="1755">
        <f>SUM(I14:I16,I21,I22)</f>
        <v>0</v>
      </c>
      <c r="J23" s="1755">
        <f>SUM(J14:J16,J21,J22)</f>
        <v>0</v>
      </c>
      <c r="K23" s="1755">
        <f>SUM(K14:K16,K21,K22)</f>
        <v>0</v>
      </c>
    </row>
    <row r="24" spans="1:11" ht="14.25" thickTop="1" thickBot="1" x14ac:dyDescent="0.25">
      <c r="A24" s="2242" t="s">
        <v>1965</v>
      </c>
      <c r="B24" s="2241"/>
      <c r="C24" s="2241"/>
      <c r="D24" s="2241"/>
      <c r="E24" s="2241"/>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5"/>
      <c r="I31" s="2216"/>
      <c r="J31" s="2216"/>
      <c r="K31" s="2216"/>
    </row>
    <row r="32" spans="1:11" x14ac:dyDescent="0.2">
      <c r="A32" s="806"/>
      <c r="B32" s="237"/>
      <c r="C32" s="237"/>
      <c r="D32" s="237"/>
      <c r="E32" s="802"/>
      <c r="F32" s="808" t="s">
        <v>540</v>
      </c>
      <c r="G32" s="761"/>
      <c r="H32" s="2217"/>
      <c r="I32" s="2216"/>
      <c r="J32" s="2216"/>
      <c r="K32" s="2216"/>
    </row>
    <row r="33" spans="1:11" ht="1.5" customHeight="1" x14ac:dyDescent="0.2">
      <c r="A33" s="809" t="s">
        <v>1169</v>
      </c>
      <c r="B33" s="364"/>
      <c r="C33" s="364"/>
      <c r="D33" s="364"/>
      <c r="E33" s="364"/>
      <c r="F33" s="364"/>
      <c r="G33" s="810"/>
      <c r="H33" s="2217"/>
      <c r="I33" s="2216"/>
      <c r="J33" s="2216"/>
      <c r="K33" s="2216"/>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2" t="s">
        <v>541</v>
      </c>
      <c r="B41" s="2225"/>
      <c r="C41" s="2225"/>
      <c r="D41" s="2225"/>
      <c r="E41" s="2225"/>
      <c r="F41" s="2226"/>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1909</v>
      </c>
      <c r="B1" s="2248"/>
      <c r="C1" s="2249"/>
      <c r="D1" s="823"/>
      <c r="E1" s="824"/>
      <c r="F1" s="824"/>
      <c r="G1" s="825"/>
      <c r="H1" s="826"/>
      <c r="I1" s="827"/>
      <c r="J1" s="2245"/>
      <c r="K1" s="2246"/>
      <c r="L1" s="224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c r="D3" s="832"/>
      <c r="E3" s="832"/>
      <c r="F3" s="1757">
        <f>(C3+D3)-E3</f>
        <v>0</v>
      </c>
      <c r="G3" s="833"/>
      <c r="H3" s="832"/>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c r="D5" s="838"/>
      <c r="E5" s="838"/>
      <c r="F5" s="1757">
        <f>(C5+D5)-E5</f>
        <v>0</v>
      </c>
      <c r="G5" s="834"/>
      <c r="H5" s="839"/>
      <c r="I5" s="839"/>
      <c r="J5" s="839"/>
      <c r="K5" s="790"/>
      <c r="L5" s="1766">
        <f>F5-K5</f>
        <v>0</v>
      </c>
    </row>
    <row r="6" spans="1:14" ht="14.25" thickTop="1" thickBot="1" x14ac:dyDescent="0.25">
      <c r="A6" s="775" t="s">
        <v>1117</v>
      </c>
      <c r="B6" s="837">
        <v>222</v>
      </c>
      <c r="C6" s="762"/>
      <c r="D6" s="762"/>
      <c r="E6" s="762"/>
      <c r="F6" s="1757">
        <f>(C6+D6)-E6</f>
        <v>0</v>
      </c>
      <c r="G6" s="834">
        <v>50</v>
      </c>
      <c r="H6" s="762"/>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c r="D8" s="841"/>
      <c r="E8" s="841"/>
      <c r="F8" s="1757">
        <f>(C8+D8)-E8</f>
        <v>0</v>
      </c>
      <c r="G8" s="840">
        <v>50</v>
      </c>
      <c r="H8" s="762"/>
      <c r="I8" s="762"/>
      <c r="J8" s="762"/>
      <c r="K8" s="1766">
        <f>(H8+I8)-J8</f>
        <v>0</v>
      </c>
      <c r="L8" s="1766">
        <f>F8-K8</f>
        <v>0</v>
      </c>
    </row>
    <row r="9" spans="1:14" ht="14.25" thickTop="1" thickBot="1" x14ac:dyDescent="0.25">
      <c r="A9" s="775" t="s">
        <v>1119</v>
      </c>
      <c r="B9" s="837">
        <v>232</v>
      </c>
      <c r="C9" s="762"/>
      <c r="D9" s="762"/>
      <c r="E9" s="762"/>
      <c r="F9" s="1757">
        <f>(C9+D9)-E9</f>
        <v>0</v>
      </c>
      <c r="G9" s="840">
        <v>20</v>
      </c>
      <c r="H9" s="762"/>
      <c r="I9" s="762"/>
      <c r="J9" s="762"/>
      <c r="K9" s="1766">
        <f>(H9+I9)-J9</f>
        <v>0</v>
      </c>
      <c r="L9" s="1766">
        <f>F9-K9</f>
        <v>0</v>
      </c>
    </row>
    <row r="10" spans="1:14" ht="24" thickTop="1" thickBot="1" x14ac:dyDescent="0.25">
      <c r="A10" s="842" t="s">
        <v>1120</v>
      </c>
      <c r="B10" s="837">
        <v>240</v>
      </c>
      <c r="C10" s="843"/>
      <c r="D10" s="843"/>
      <c r="E10" s="843"/>
      <c r="F10" s="1761">
        <f>(C10+D10)-E10</f>
        <v>0</v>
      </c>
      <c r="G10" s="840">
        <v>20</v>
      </c>
      <c r="H10" s="844"/>
      <c r="I10" s="844"/>
      <c r="J10" s="844"/>
      <c r="K10" s="1766">
        <f>(H10+I10)-J10</f>
        <v>0</v>
      </c>
      <c r="L10" s="1766">
        <f>F10-K10</f>
        <v>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67649</v>
      </c>
      <c r="D12" s="841">
        <v>17708</v>
      </c>
      <c r="E12" s="841">
        <v>5709</v>
      </c>
      <c r="F12" s="1757">
        <f>(C12+D12)-E12</f>
        <v>79648</v>
      </c>
      <c r="G12" s="840">
        <v>10</v>
      </c>
      <c r="H12" s="762">
        <v>29641</v>
      </c>
      <c r="I12" s="762">
        <v>7965</v>
      </c>
      <c r="J12" s="762">
        <v>5709</v>
      </c>
      <c r="K12" s="1766">
        <f>(H12+I12)-J12</f>
        <v>31897</v>
      </c>
      <c r="L12" s="1766">
        <f>F12-K12</f>
        <v>47751</v>
      </c>
    </row>
    <row r="13" spans="1:14" ht="14.25" thickTop="1" thickBot="1" x14ac:dyDescent="0.25">
      <c r="A13" s="845" t="s">
        <v>1122</v>
      </c>
      <c r="B13" s="837">
        <v>252</v>
      </c>
      <c r="C13" s="841"/>
      <c r="D13" s="841"/>
      <c r="E13" s="841"/>
      <c r="F13" s="1757">
        <f>(C13+D13)-E13</f>
        <v>0</v>
      </c>
      <c r="G13" s="840">
        <v>5</v>
      </c>
      <c r="H13" s="762"/>
      <c r="I13" s="762"/>
      <c r="J13" s="762"/>
      <c r="K13" s="1766">
        <f>(H13+I13)-J13</f>
        <v>0</v>
      </c>
      <c r="L13" s="1766">
        <f>F13-K13</f>
        <v>0</v>
      </c>
    </row>
    <row r="14" spans="1:14" ht="14.25" thickTop="1" thickBot="1" x14ac:dyDescent="0.25">
      <c r="A14" s="845" t="s">
        <v>1123</v>
      </c>
      <c r="B14" s="837">
        <v>253</v>
      </c>
      <c r="C14" s="762"/>
      <c r="D14" s="762"/>
      <c r="E14" s="762"/>
      <c r="F14" s="1757">
        <f>(C14+D14)-E14</f>
        <v>0</v>
      </c>
      <c r="G14" s="840">
        <v>3</v>
      </c>
      <c r="H14" s="762"/>
      <c r="I14" s="762"/>
      <c r="J14" s="762"/>
      <c r="K14" s="1766">
        <f>(H14+I14)-J14</f>
        <v>0</v>
      </c>
      <c r="L14" s="1766">
        <f>F14-K14</f>
        <v>0</v>
      </c>
    </row>
    <row r="15" spans="1:14" ht="15" customHeight="1" thickTop="1" thickBot="1" x14ac:dyDescent="0.25">
      <c r="A15" s="1628" t="s">
        <v>528</v>
      </c>
      <c r="B15" s="1627">
        <v>260</v>
      </c>
      <c r="C15" s="841"/>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67649</v>
      </c>
      <c r="D16" s="1757">
        <f>SUM(D3,D5:D6,D8:D10,D12:D15)</f>
        <v>17708</v>
      </c>
      <c r="E16" s="1757">
        <f>SUM(E3,E5:E6,E8:E10,E12:E15)</f>
        <v>5709</v>
      </c>
      <c r="F16" s="1757">
        <f>SUM(F3,F5:F6,F8:F10,F12:F15)</f>
        <v>79648</v>
      </c>
      <c r="G16" s="840"/>
      <c r="H16" s="1757">
        <f>SUM(H3,H6,H8:H10,H12:H14,)</f>
        <v>29641</v>
      </c>
      <c r="I16" s="1757">
        <f>SUM(I3,I6,I8:I10,I12:I14,)</f>
        <v>7965</v>
      </c>
      <c r="J16" s="1757">
        <f>SUM(J3,J6,J8:J10,J12:J14,)</f>
        <v>5709</v>
      </c>
      <c r="K16" s="1757">
        <f>(H16+I16)-J16</f>
        <v>31897</v>
      </c>
      <c r="L16" s="1757">
        <f>F16-K16</f>
        <v>47751</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7965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B5" sqref="B5"/>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3" t="s">
        <v>1975</v>
      </c>
      <c r="B1" s="2254"/>
      <c r="C1" s="2254"/>
      <c r="D1" s="2254"/>
      <c r="E1" s="2254"/>
      <c r="F1" s="2255"/>
      <c r="G1" s="852"/>
    </row>
    <row r="2" spans="1:7" ht="15" customHeight="1" thickBot="1" x14ac:dyDescent="0.25">
      <c r="A2" s="2256" t="s">
        <v>477</v>
      </c>
      <c r="B2" s="2257"/>
      <c r="C2" s="2257"/>
      <c r="D2" s="2257"/>
      <c r="E2" s="2257"/>
      <c r="F2" s="225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1378076</v>
      </c>
      <c r="G8" s="862"/>
    </row>
    <row r="9" spans="1:7" x14ac:dyDescent="0.2">
      <c r="A9" s="866" t="s">
        <v>460</v>
      </c>
      <c r="B9" s="867" t="s">
        <v>1877</v>
      </c>
      <c r="C9" s="868"/>
      <c r="D9" s="866" t="s">
        <v>501</v>
      </c>
      <c r="E9" s="865"/>
      <c r="F9" s="1906">
        <f>'Expenditures 15-22'!K151</f>
        <v>0</v>
      </c>
      <c r="G9" s="869"/>
    </row>
    <row r="10" spans="1:7" x14ac:dyDescent="0.2">
      <c r="A10" s="866" t="s">
        <v>499</v>
      </c>
      <c r="B10" s="867" t="s">
        <v>1878</v>
      </c>
      <c r="C10" s="868"/>
      <c r="D10" s="866" t="s">
        <v>501</v>
      </c>
      <c r="E10" s="865"/>
      <c r="F10" s="1906">
        <f>'Expenditures 15-22'!K174</f>
        <v>0</v>
      </c>
      <c r="G10" s="869"/>
    </row>
    <row r="11" spans="1:7" x14ac:dyDescent="0.2">
      <c r="A11" s="866" t="s">
        <v>461</v>
      </c>
      <c r="B11" s="867" t="s">
        <v>1879</v>
      </c>
      <c r="C11" s="868"/>
      <c r="D11" s="866" t="s">
        <v>501</v>
      </c>
      <c r="E11" s="865"/>
      <c r="F11" s="1906">
        <f>'Expenditures 15-22'!K210</f>
        <v>0</v>
      </c>
      <c r="G11" s="869"/>
    </row>
    <row r="12" spans="1:7" x14ac:dyDescent="0.2">
      <c r="A12" s="866" t="s">
        <v>462</v>
      </c>
      <c r="B12" s="867" t="s">
        <v>1880</v>
      </c>
      <c r="C12" s="868"/>
      <c r="D12" s="866" t="s">
        <v>501</v>
      </c>
      <c r="E12" s="865"/>
      <c r="F12" s="1906">
        <f>'Expenditures 15-22'!K295</f>
        <v>0</v>
      </c>
      <c r="G12" s="869"/>
    </row>
    <row r="13" spans="1:7" x14ac:dyDescent="0.2">
      <c r="A13" s="866" t="s">
        <v>106</v>
      </c>
      <c r="B13" s="867" t="s">
        <v>1881</v>
      </c>
      <c r="C13" s="868"/>
      <c r="D13" s="866" t="s">
        <v>501</v>
      </c>
      <c r="E13" s="865"/>
      <c r="F13" s="1906">
        <f>'Expenditures 15-22'!K342</f>
        <v>0</v>
      </c>
      <c r="G13" s="870"/>
    </row>
    <row r="14" spans="1:7" ht="12" customHeight="1" thickBot="1" x14ac:dyDescent="0.25">
      <c r="A14" s="1767"/>
      <c r="B14" s="1768"/>
      <c r="C14" s="1769"/>
      <c r="D14" s="1770" t="s">
        <v>501</v>
      </c>
      <c r="E14" s="1771" t="s">
        <v>958</v>
      </c>
      <c r="F14" s="1772">
        <f>SUM(F8:F13)</f>
        <v>1378076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41459</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201717</v>
      </c>
      <c r="G53" s="862"/>
    </row>
    <row r="54" spans="1:7" x14ac:dyDescent="0.2">
      <c r="A54" s="866" t="s">
        <v>459</v>
      </c>
      <c r="B54" s="866" t="s">
        <v>1476</v>
      </c>
      <c r="C54" s="886" t="s">
        <v>982</v>
      </c>
      <c r="D54" s="882" t="s">
        <v>1095</v>
      </c>
      <c r="E54" s="865"/>
      <c r="F54" s="1910">
        <f>'Expenditures 15-22'!G114</f>
        <v>17708</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260884</v>
      </c>
      <c r="G76" s="862"/>
    </row>
    <row r="77" spans="1:8" s="890" customFormat="1" ht="12" customHeight="1" thickTop="1" thickBot="1" x14ac:dyDescent="0.25">
      <c r="A77" s="1776"/>
      <c r="B77" s="1773"/>
      <c r="C77" s="1769"/>
      <c r="D77" s="1774" t="s">
        <v>1900</v>
      </c>
      <c r="E77" s="1771"/>
      <c r="F77" s="1777">
        <f>(F14-F76)</f>
        <v>1117192</v>
      </c>
      <c r="G77" s="866"/>
    </row>
    <row r="78" spans="1:8" s="890" customFormat="1" ht="12" customHeight="1" thickTop="1" x14ac:dyDescent="0.2">
      <c r="A78" s="1778"/>
      <c r="B78" s="1773"/>
      <c r="C78" s="1769"/>
      <c r="D78" s="1774" t="s">
        <v>2062</v>
      </c>
      <c r="E78" s="1771"/>
      <c r="F78" s="895">
        <v>0</v>
      </c>
      <c r="G78" s="896"/>
      <c r="H78" s="866"/>
    </row>
    <row r="79" spans="1:8" s="890" customFormat="1" ht="12" customHeight="1" thickBot="1" x14ac:dyDescent="0.25">
      <c r="A79" s="1779"/>
      <c r="B79" s="1773"/>
      <c r="C79" s="1769"/>
      <c r="D79" s="1774" t="s">
        <v>1901</v>
      </c>
      <c r="E79" s="1771" t="s">
        <v>958</v>
      </c>
      <c r="F79" s="1780"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250" t="s">
        <v>1105</v>
      </c>
      <c r="B81" s="2251"/>
      <c r="C81" s="2251"/>
      <c r="D81" s="2251"/>
      <c r="E81" s="2251"/>
      <c r="F81" s="225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0</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1600</v>
      </c>
      <c r="G104" s="909"/>
    </row>
    <row r="105" spans="1:7" x14ac:dyDescent="0.2">
      <c r="A105" s="905" t="s">
        <v>503</v>
      </c>
      <c r="B105" s="905" t="s">
        <v>2003</v>
      </c>
      <c r="C105" s="910">
        <v>3100</v>
      </c>
      <c r="D105" s="916" t="str">
        <f>'Revenues 9-14'!A132</f>
        <v>Total Special Education</v>
      </c>
      <c r="E105" s="903"/>
      <c r="F105" s="1786">
        <f>SUM('Revenues 9-14'!C132:D132,'Revenues 9-14'!F132)</f>
        <v>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845699</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0</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24570</v>
      </c>
      <c r="G170" s="924"/>
    </row>
    <row r="171" spans="1:7" x14ac:dyDescent="0.2">
      <c r="A171" s="1915" t="s">
        <v>5</v>
      </c>
      <c r="B171" s="1916" t="s">
        <v>1920</v>
      </c>
      <c r="C171" s="1917">
        <v>3100</v>
      </c>
      <c r="D171" s="1918" t="s">
        <v>1922</v>
      </c>
      <c r="E171" s="903"/>
      <c r="F171" s="1903"/>
      <c r="G171" s="924"/>
    </row>
    <row r="172" spans="1:7" x14ac:dyDescent="0.2">
      <c r="A172" s="1915" t="s">
        <v>664</v>
      </c>
      <c r="B172" s="1916" t="s">
        <v>1920</v>
      </c>
      <c r="C172" s="1917">
        <v>3300</v>
      </c>
      <c r="D172" s="1918" t="s">
        <v>1923</v>
      </c>
      <c r="E172" s="903"/>
      <c r="F172" s="1903"/>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871869</v>
      </c>
    </row>
    <row r="175" spans="1:7" ht="12" customHeight="1" x14ac:dyDescent="0.2">
      <c r="A175" s="1767"/>
      <c r="B175" s="1781"/>
      <c r="C175" s="1782"/>
      <c r="D175" s="1783" t="s">
        <v>2057</v>
      </c>
      <c r="E175" s="1784"/>
      <c r="F175" s="1786">
        <f>'PCTC-OEPP 27-28'!F77-F174</f>
        <v>245323</v>
      </c>
    </row>
    <row r="176" spans="1:7" ht="12" customHeight="1" x14ac:dyDescent="0.2">
      <c r="A176" s="1767"/>
      <c r="B176" s="1781"/>
      <c r="C176" s="1782"/>
      <c r="D176" s="1783" t="s">
        <v>1817</v>
      </c>
      <c r="E176" s="1784"/>
      <c r="F176" s="1786">
        <f>'Cap Outlay Deprec 26'!I18</f>
        <v>7965</v>
      </c>
    </row>
    <row r="177" spans="1:7" ht="12" customHeight="1" x14ac:dyDescent="0.2">
      <c r="A177" s="1767"/>
      <c r="B177" s="1781"/>
      <c r="C177" s="1782"/>
      <c r="D177" s="1783" t="s">
        <v>2058</v>
      </c>
      <c r="E177" s="1784"/>
      <c r="F177" s="1786">
        <f>F175+F176</f>
        <v>253288</v>
      </c>
    </row>
    <row r="178" spans="1:7" ht="12" customHeight="1" x14ac:dyDescent="0.2">
      <c r="A178" s="1767"/>
      <c r="B178" s="1787"/>
      <c r="C178" s="1782"/>
      <c r="D178" s="1783" t="str">
        <f>D78</f>
        <v>9 Month ADA from District Average Daily Attendance/Prior General State Aid Inquiry 2018-2019</v>
      </c>
      <c r="E178" s="1784"/>
      <c r="F178" s="1788">
        <f>'PCTC-OEPP 27-28'!F78</f>
        <v>0</v>
      </c>
      <c r="G178" s="927"/>
    </row>
    <row r="179" spans="1:7" ht="12" customHeight="1" thickBot="1" x14ac:dyDescent="0.25">
      <c r="A179" s="1767"/>
      <c r="B179" s="1787"/>
      <c r="C179" s="1782"/>
      <c r="D179" s="1783" t="s">
        <v>2059</v>
      </c>
      <c r="E179" s="1784" t="s">
        <v>1545</v>
      </c>
      <c r="F179" s="1789" t="e">
        <f>F177/F178</f>
        <v>#DIV/0!</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4" sqref="A4:G5"/>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4" t="s">
        <v>1818</v>
      </c>
      <c r="B4" s="2265"/>
      <c r="C4" s="2265"/>
      <c r="D4" s="2265"/>
      <c r="E4" s="2265"/>
      <c r="F4" s="2265"/>
      <c r="G4" s="2266"/>
    </row>
    <row r="5" spans="1:7" x14ac:dyDescent="0.25">
      <c r="A5" s="2267"/>
      <c r="B5" s="2268"/>
      <c r="C5" s="2268"/>
      <c r="D5" s="2268"/>
      <c r="E5" s="2268"/>
      <c r="F5" s="2268"/>
      <c r="G5" s="2269"/>
    </row>
    <row r="6" spans="1:7" ht="18.75" x14ac:dyDescent="0.25">
      <c r="A6" s="1531" t="s">
        <v>1819</v>
      </c>
      <c r="B6" s="1532"/>
      <c r="C6" s="1532"/>
      <c r="D6" s="1532"/>
      <c r="E6" s="1532"/>
      <c r="F6" s="1532"/>
      <c r="G6" s="1533"/>
    </row>
    <row r="7" spans="1:7" ht="30.75" customHeight="1" x14ac:dyDescent="0.25">
      <c r="A7" s="2270" t="s">
        <v>1932</v>
      </c>
      <c r="B7" s="2271"/>
      <c r="C7" s="2271"/>
      <c r="D7" s="2271"/>
      <c r="E7" s="2271"/>
      <c r="F7" s="2271"/>
      <c r="G7" s="2272"/>
    </row>
    <row r="8" spans="1:7" ht="15.75" customHeight="1" x14ac:dyDescent="0.25">
      <c r="A8" s="2273" t="s">
        <v>1907</v>
      </c>
      <c r="B8" s="2274"/>
      <c r="C8" s="2274"/>
      <c r="D8" s="2274"/>
      <c r="E8" s="2274"/>
      <c r="F8" s="2274"/>
      <c r="G8" s="2275"/>
    </row>
    <row r="9" spans="1:7" ht="35.25" customHeight="1" x14ac:dyDescent="0.25">
      <c r="A9" s="2270" t="s">
        <v>1935</v>
      </c>
      <c r="B9" s="2271"/>
      <c r="C9" s="2271"/>
      <c r="D9" s="2271"/>
      <c r="E9" s="2271"/>
      <c r="F9" s="2271"/>
      <c r="G9" s="2272"/>
    </row>
    <row r="10" spans="1:7" ht="15" customHeight="1" x14ac:dyDescent="0.25">
      <c r="A10" s="1534" t="s">
        <v>1820</v>
      </c>
      <c r="B10" s="1535"/>
      <c r="C10" s="1535"/>
      <c r="D10" s="1535"/>
      <c r="E10" s="1535"/>
      <c r="F10" s="1535"/>
      <c r="G10" s="1536"/>
    </row>
    <row r="11" spans="1:7" ht="17.25" customHeight="1" x14ac:dyDescent="0.25">
      <c r="A11" s="2270" t="s">
        <v>1934</v>
      </c>
      <c r="B11" s="2271"/>
      <c r="C11" s="2271"/>
      <c r="D11" s="2271"/>
      <c r="E11" s="2271"/>
      <c r="F11" s="2271"/>
      <c r="G11" s="2272"/>
    </row>
    <row r="12" spans="1:7" ht="15" customHeight="1" x14ac:dyDescent="0.25">
      <c r="A12" s="1534" t="s">
        <v>1825</v>
      </c>
      <c r="B12" s="1535"/>
      <c r="C12" s="1535"/>
      <c r="D12" s="1535"/>
      <c r="E12" s="1535"/>
      <c r="F12" s="1535"/>
      <c r="G12" s="1536"/>
    </row>
    <row r="13" spans="1:7" ht="32.25" customHeight="1" x14ac:dyDescent="0.25">
      <c r="A13" s="2261" t="s">
        <v>1976</v>
      </c>
      <c r="B13" s="2262"/>
      <c r="C13" s="2262"/>
      <c r="D13" s="2262"/>
      <c r="E13" s="2262"/>
      <c r="F13" s="2262"/>
      <c r="G13" s="2263"/>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2085</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6" t="s">
        <v>1679</v>
      </c>
      <c r="B5" s="2277"/>
      <c r="C5" s="2277"/>
      <c r="D5" s="2277"/>
      <c r="E5" s="2277"/>
      <c r="F5" s="2277"/>
      <c r="G5" s="2278"/>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c r="F10" s="971"/>
      <c r="G10" s="972"/>
      <c r="H10" s="162"/>
      <c r="I10" s="162"/>
    </row>
    <row r="11" spans="1:9" s="665" customFormat="1" ht="22.5" customHeight="1" x14ac:dyDescent="0.2">
      <c r="A11" s="2281" t="s">
        <v>1977</v>
      </c>
      <c r="B11" s="2282"/>
      <c r="C11" s="2282"/>
      <c r="D11" s="2283"/>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918086</v>
      </c>
      <c r="F19" s="1796"/>
      <c r="G19" s="1798">
        <f>'Expenditures 15-22'!K33-SUM('Expenditures 15-22'!G33,'Expenditures 15-22'!I33)+'Expenditures 15-22'!D229</f>
        <v>918086</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37963</v>
      </c>
      <c r="F21" s="1799"/>
      <c r="G21" s="1802">
        <f>'Expenditures 15-22'!K42-SUM('Expenditures 15-22'!G42,'Expenditures 15-22'!I42)+'Expenditures 15-22'!K120-SUM('Expenditures 15-22'!G120,'Expenditures 15-22'!I120)+'Expenditures 15-22'!K180-SUM('Expenditures 15-22'!G180,'Expenditures 15-22'!I180)+'Expenditures 15-22'!D238</f>
        <v>37963</v>
      </c>
      <c r="H21" s="984"/>
      <c r="I21" s="162"/>
    </row>
    <row r="22" spans="1:9" s="665" customFormat="1" ht="12" customHeight="1" x14ac:dyDescent="0.2">
      <c r="A22" s="991" t="s">
        <v>564</v>
      </c>
      <c r="B22" s="992"/>
      <c r="C22" s="990">
        <v>2200</v>
      </c>
      <c r="D22" s="1799"/>
      <c r="E22" s="1801">
        <f>'Expenditures 15-22'!K47-SUM('Expenditures 15-22'!G47,'Expenditures 15-22'!I47)+'Expenditures 15-22'!D243</f>
        <v>16170</v>
      </c>
      <c r="F22" s="1799"/>
      <c r="G22" s="1802">
        <f>'Expenditures 15-22'!K47-SUM('Expenditures 15-22'!G47,'Expenditures 15-22'!I47)+'Expenditures 15-22'!D243</f>
        <v>16170</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186432</v>
      </c>
      <c r="F23" s="1799"/>
      <c r="G23" s="1801">
        <f>'Expenditures 15-22'!K53-SUM('Expenditures 15-22'!G53,'Expenditures 15-22'!I53)+'Expenditures 15-22'!D257+'Expenditures 15-22'!K330-SUM('Expenditures 15-22'!G330,'Expenditures 15-22'!I330)</f>
        <v>186432</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0</v>
      </c>
      <c r="E27" s="1801">
        <f>E8</f>
        <v>0</v>
      </c>
      <c r="F27" s="1801">
        <f>'Expenditures 15-22'!K60-SUM('Expenditures 15-22'!G60,'Expenditures 15-22'!I60)+'Expenditures 15-22'!D264-E8</f>
        <v>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0</v>
      </c>
      <c r="F28" s="1803">
        <f>'Expenditures 15-22'!K61-SUM('Expenditures 15-22'!G61,'Expenditures 15-22'!I61)+'Expenditures 15-22'!K124-SUM('Expenditures 15-22'!G124,'Expenditures 15-22'!I124)+'Expenditures 15-22'!D266-E9</f>
        <v>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0</v>
      </c>
      <c r="F29" s="1799"/>
      <c r="G29" s="1802">
        <f>'Expenditures 15-22'!K62-SUM('Expenditures 15-22'!G62,'Expenditures 15-22'!I62)+'Expenditures 15-22'!K125-SUM('Expenditures 15-22'!G125,'Expenditures 15-22'!I125)+'Expenditures 15-22'!K182-SUM('Expenditures 15-22'!G182,'Expenditures 15-22'!I182)+'Expenditures 15-22'!D267</f>
        <v>0</v>
      </c>
      <c r="H29" s="982"/>
    </row>
    <row r="30" spans="1:9" ht="12" customHeight="1" x14ac:dyDescent="0.2">
      <c r="A30" s="991" t="s">
        <v>100</v>
      </c>
      <c r="B30" s="994"/>
      <c r="C30" s="990">
        <v>2560</v>
      </c>
      <c r="D30" s="1799"/>
      <c r="E30" s="1801">
        <f>'Expenditures 15-22'!K63-SUM('Expenditures 15-22'!G63,'Expenditures 15-22'!I63)+'Expenditures 15-22'!D268-E10</f>
        <v>0</v>
      </c>
      <c r="F30" s="1799"/>
      <c r="G30" s="1801">
        <f>'Expenditures 15-22'!K63-SUM('Expenditures 15-22'!G63,'Expenditures 15-22'!I63)+'Expenditures 15-22'!D268-E10</f>
        <v>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0</v>
      </c>
      <c r="E41" s="1803">
        <f>SUM(E19:E40)</f>
        <v>1158651</v>
      </c>
      <c r="F41" s="1803">
        <f>SUM(F19:F39)</f>
        <v>0</v>
      </c>
      <c r="G41" s="1803">
        <f>SUM(G19:G40)</f>
        <v>1158651</v>
      </c>
    </row>
    <row r="42" spans="1:7" x14ac:dyDescent="0.2">
      <c r="A42" s="984"/>
      <c r="B42" s="162"/>
      <c r="C42" s="998"/>
      <c r="D42" s="2279" t="s">
        <v>522</v>
      </c>
      <c r="E42" s="2280"/>
      <c r="F42" s="999" t="s">
        <v>523</v>
      </c>
      <c r="G42" s="1000"/>
    </row>
    <row r="43" spans="1:7" ht="12" customHeight="1" x14ac:dyDescent="0.2">
      <c r="A43" s="984"/>
      <c r="B43" s="162"/>
      <c r="C43" s="998"/>
      <c r="D43" s="1804" t="s">
        <v>473</v>
      </c>
      <c r="E43" s="1805">
        <f>D41</f>
        <v>0</v>
      </c>
      <c r="F43" s="1804" t="s">
        <v>473</v>
      </c>
      <c r="G43" s="1805">
        <f>F41</f>
        <v>0</v>
      </c>
    </row>
    <row r="44" spans="1:7" ht="12" customHeight="1" x14ac:dyDescent="0.2">
      <c r="A44" s="984"/>
      <c r="B44" s="162"/>
      <c r="C44" s="998"/>
      <c r="D44" s="1804" t="s">
        <v>474</v>
      </c>
      <c r="E44" s="1805">
        <f>E41</f>
        <v>1158651</v>
      </c>
      <c r="F44" s="1804" t="s">
        <v>474</v>
      </c>
      <c r="G44" s="1805">
        <f>G41</f>
        <v>1158651</v>
      </c>
    </row>
    <row r="45" spans="1:7" ht="12" customHeight="1" x14ac:dyDescent="0.2">
      <c r="A45" s="984"/>
      <c r="B45" s="162"/>
      <c r="C45" s="162"/>
      <c r="D45" s="1806" t="s">
        <v>1006</v>
      </c>
      <c r="E45" s="1807">
        <f>(E43/E44)</f>
        <v>0</v>
      </c>
      <c r="F45" s="1806" t="s">
        <v>1006</v>
      </c>
      <c r="G45" s="1807">
        <f>(G43/G44)</f>
        <v>0</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B5" sqref="B5"/>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8" t="s">
        <v>1379</v>
      </c>
      <c r="B1" s="2298"/>
      <c r="C1" s="2298"/>
      <c r="D1" s="2298"/>
      <c r="E1" s="2298"/>
      <c r="F1" s="2298"/>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99" t="s">
        <v>1546</v>
      </c>
      <c r="B5" s="2300"/>
      <c r="C5" s="2301"/>
      <c r="D5" s="2301"/>
      <c r="E5" s="2301"/>
      <c r="F5" s="2301"/>
    </row>
    <row r="6" spans="1:10" ht="12" customHeight="1" x14ac:dyDescent="0.25">
      <c r="A6" s="1847"/>
      <c r="B6" s="1848"/>
      <c r="C6" s="2302" t="str">
        <f>COVER!A17</f>
        <v>Bloomington Area Career Center</v>
      </c>
      <c r="D6" s="2302"/>
      <c r="E6" s="2302"/>
      <c r="F6" s="1849"/>
    </row>
    <row r="7" spans="1:10" ht="11.25" customHeight="1" thickBot="1" x14ac:dyDescent="0.3">
      <c r="A7" s="1847"/>
      <c r="B7" s="1848"/>
      <c r="C7" s="2303">
        <f>COVER!A13</f>
        <v>17064087041</v>
      </c>
      <c r="D7" s="2303"/>
      <c r="E7" s="2303"/>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t="s">
        <v>2078</v>
      </c>
      <c r="D12" s="1862" t="s">
        <v>2078</v>
      </c>
      <c r="E12" s="1865"/>
      <c r="F12" s="1864" t="s">
        <v>2087</v>
      </c>
      <c r="H12" s="1875">
        <f t="shared" ref="H12:H33" si="0">IF(C12="X",5,0)</f>
        <v>5</v>
      </c>
      <c r="I12" s="1875">
        <f t="shared" ref="I12:I33" si="1">IF(D12="X",5,0)</f>
        <v>5</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t="s">
        <v>2078</v>
      </c>
      <c r="D18" s="1862" t="s">
        <v>2078</v>
      </c>
      <c r="E18" s="1865"/>
      <c r="F18" s="1864" t="s">
        <v>2087</v>
      </c>
      <c r="H18" s="1875">
        <f t="shared" si="0"/>
        <v>5</v>
      </c>
      <c r="I18" s="1875">
        <f t="shared" si="1"/>
        <v>5</v>
      </c>
      <c r="J18" s="1875">
        <f t="shared" si="2"/>
        <v>0</v>
      </c>
    </row>
    <row r="19" spans="1:12" ht="12" customHeight="1" x14ac:dyDescent="0.2">
      <c r="A19" s="1860" t="s">
        <v>1527</v>
      </c>
      <c r="B19" s="1861"/>
      <c r="C19" s="1862" t="s">
        <v>2078</v>
      </c>
      <c r="D19" s="1862" t="s">
        <v>2078</v>
      </c>
      <c r="E19" s="1865"/>
      <c r="F19" s="1864" t="s">
        <v>2087</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2078</v>
      </c>
      <c r="D21" s="1862" t="s">
        <v>2078</v>
      </c>
      <c r="E21" s="1865"/>
      <c r="F21" s="1864" t="s">
        <v>2087</v>
      </c>
      <c r="H21" s="1875">
        <f t="shared" si="0"/>
        <v>5</v>
      </c>
      <c r="I21" s="1875">
        <f t="shared" si="1"/>
        <v>5</v>
      </c>
      <c r="J21" s="1875">
        <f t="shared" si="2"/>
        <v>0</v>
      </c>
    </row>
    <row r="22" spans="1:12" ht="12" customHeight="1" x14ac:dyDescent="0.2">
      <c r="A22" s="1860" t="s">
        <v>1530</v>
      </c>
      <c r="B22" s="1861"/>
      <c r="C22" s="1862" t="s">
        <v>2078</v>
      </c>
      <c r="D22" s="1862" t="s">
        <v>2078</v>
      </c>
      <c r="E22" s="1865"/>
      <c r="F22" s="1864" t="s">
        <v>2087</v>
      </c>
      <c r="H22" s="1875">
        <f t="shared" si="0"/>
        <v>5</v>
      </c>
      <c r="I22" s="1875">
        <f t="shared" si="1"/>
        <v>5</v>
      </c>
      <c r="J22" s="1875">
        <f t="shared" si="2"/>
        <v>0</v>
      </c>
    </row>
    <row r="23" spans="1:12" ht="12" customHeight="1" x14ac:dyDescent="0.2">
      <c r="A23" s="1860" t="s">
        <v>1531</v>
      </c>
      <c r="B23" s="1861"/>
      <c r="C23" s="1862" t="s">
        <v>2078</v>
      </c>
      <c r="D23" s="1862" t="s">
        <v>2078</v>
      </c>
      <c r="E23" s="1865"/>
      <c r="F23" s="1864" t="s">
        <v>2087</v>
      </c>
      <c r="H23" s="1875">
        <f t="shared" si="0"/>
        <v>5</v>
      </c>
      <c r="I23" s="1875">
        <f t="shared" si="1"/>
        <v>5</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2078</v>
      </c>
      <c r="D25" s="1862" t="s">
        <v>2078</v>
      </c>
      <c r="E25" s="1865"/>
      <c r="F25" s="1864" t="s">
        <v>2087</v>
      </c>
      <c r="H25" s="1875">
        <f t="shared" si="0"/>
        <v>5</v>
      </c>
      <c r="I25" s="1875">
        <f t="shared" si="1"/>
        <v>5</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2078</v>
      </c>
      <c r="D29" s="1862" t="s">
        <v>2078</v>
      </c>
      <c r="E29" s="1865"/>
      <c r="F29" s="1864" t="s">
        <v>2087</v>
      </c>
      <c r="H29" s="1875">
        <f t="shared" si="0"/>
        <v>5</v>
      </c>
      <c r="I29" s="1875">
        <f t="shared" si="1"/>
        <v>5</v>
      </c>
      <c r="J29" s="1875">
        <f t="shared" si="2"/>
        <v>0</v>
      </c>
    </row>
    <row r="30" spans="1:12" ht="12" customHeight="1" x14ac:dyDescent="0.2">
      <c r="A30" s="1860" t="s">
        <v>1538</v>
      </c>
      <c r="B30" s="1861"/>
      <c r="C30" s="1862" t="s">
        <v>2078</v>
      </c>
      <c r="D30" s="1862" t="s">
        <v>2078</v>
      </c>
      <c r="E30" s="1865"/>
      <c r="F30" s="1864" t="s">
        <v>2087</v>
      </c>
      <c r="H30" s="1875">
        <f t="shared" si="0"/>
        <v>5</v>
      </c>
      <c r="I30" s="1875">
        <f t="shared" si="1"/>
        <v>5</v>
      </c>
      <c r="J30" s="1875">
        <f t="shared" si="2"/>
        <v>0</v>
      </c>
    </row>
    <row r="31" spans="1:12" ht="12" customHeight="1" x14ac:dyDescent="0.2">
      <c r="A31" s="1860" t="s">
        <v>1539</v>
      </c>
      <c r="B31" s="1861"/>
      <c r="C31" s="1862" t="s">
        <v>2078</v>
      </c>
      <c r="D31" s="1862" t="s">
        <v>2078</v>
      </c>
      <c r="E31" s="1865"/>
      <c r="F31" s="1864" t="s">
        <v>2087</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50</v>
      </c>
      <c r="I34" s="1875">
        <f>SUM(I11:I32)</f>
        <v>50</v>
      </c>
      <c r="J34" s="1875">
        <f>SUM(J11:J32)</f>
        <v>0</v>
      </c>
      <c r="K34" s="1875">
        <f>SUM(H34:J34)</f>
        <v>100</v>
      </c>
    </row>
    <row r="35" spans="1:11" ht="12" customHeight="1" x14ac:dyDescent="0.2">
      <c r="A35" s="1868" t="s">
        <v>1392</v>
      </c>
      <c r="B35" s="1869"/>
      <c r="C35" s="2304"/>
      <c r="D35" s="2304"/>
      <c r="E35" s="2304"/>
      <c r="F35" s="2305"/>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290"/>
      <c r="B38" s="2291"/>
      <c r="C38" s="2291"/>
      <c r="D38" s="2291"/>
      <c r="E38" s="2291"/>
      <c r="F38" s="2292"/>
    </row>
    <row r="39" spans="1:11" ht="4.5" hidden="1" customHeight="1" x14ac:dyDescent="0.2">
      <c r="A39" s="1870"/>
      <c r="B39" s="1870"/>
      <c r="C39" s="1870"/>
      <c r="D39" s="1870"/>
      <c r="E39" s="1870"/>
      <c r="F39" s="1870"/>
    </row>
    <row r="40" spans="1:11" s="1867" customFormat="1" ht="12" customHeight="1" x14ac:dyDescent="0.25">
      <c r="A40" s="1871" t="s">
        <v>1391</v>
      </c>
      <c r="B40" s="1872"/>
      <c r="C40" s="2293"/>
      <c r="D40" s="2293"/>
      <c r="E40" s="2293"/>
      <c r="F40" s="2294"/>
      <c r="H40" s="1876"/>
      <c r="I40" s="1876"/>
      <c r="J40" s="1876"/>
      <c r="K40" s="1876"/>
    </row>
    <row r="41" spans="1:11" s="1867" customFormat="1" ht="12" customHeight="1" x14ac:dyDescent="0.25">
      <c r="A41" s="2295"/>
      <c r="B41" s="2296"/>
      <c r="C41" s="2296"/>
      <c r="D41" s="2296"/>
      <c r="E41" s="2296"/>
      <c r="F41" s="2297"/>
      <c r="H41" s="1876"/>
      <c r="I41" s="1876"/>
      <c r="J41" s="1876"/>
      <c r="K41" s="1876"/>
    </row>
    <row r="42" spans="1:11" s="1867" customFormat="1" ht="12" customHeight="1" x14ac:dyDescent="0.25">
      <c r="A42" s="2295"/>
      <c r="B42" s="2296"/>
      <c r="C42" s="2296"/>
      <c r="D42" s="2296"/>
      <c r="E42" s="2296"/>
      <c r="F42" s="2297"/>
      <c r="H42" s="1876"/>
      <c r="I42" s="1876"/>
      <c r="J42" s="1876"/>
      <c r="K42" s="1876"/>
    </row>
    <row r="43" spans="1:11" s="1867" customFormat="1" ht="15" x14ac:dyDescent="0.25">
      <c r="A43" s="2284"/>
      <c r="B43" s="2285"/>
      <c r="C43" s="2285"/>
      <c r="D43" s="2285"/>
      <c r="E43" s="2285"/>
      <c r="F43" s="2286"/>
      <c r="H43" s="1876"/>
      <c r="I43" s="1876"/>
      <c r="J43" s="1876"/>
      <c r="K43" s="1876"/>
    </row>
    <row r="44" spans="1:11" s="1867" customFormat="1" ht="12" hidden="1" customHeight="1" x14ac:dyDescent="0.25">
      <c r="A44" s="2284"/>
      <c r="B44" s="2285"/>
      <c r="C44" s="2285"/>
      <c r="D44" s="2285"/>
      <c r="E44" s="2285"/>
      <c r="F44" s="228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1" t="str">
        <f>COVER!A17</f>
        <v>Bloomington Area Career Center</v>
      </c>
      <c r="J6" s="2312"/>
      <c r="Q6" s="1661"/>
    </row>
    <row r="7" spans="1:17" x14ac:dyDescent="0.2">
      <c r="A7" s="2313" t="s">
        <v>869</v>
      </c>
      <c r="B7" s="2314"/>
      <c r="C7" s="2314"/>
      <c r="D7" s="2314"/>
      <c r="E7" s="2315"/>
      <c r="F7" s="1014"/>
      <c r="G7" s="1006"/>
      <c r="H7" s="1013" t="s">
        <v>372</v>
      </c>
      <c r="I7" s="2316">
        <f>COVER!A13</f>
        <v>17064087041</v>
      </c>
      <c r="J7" s="231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7" t="s">
        <v>481</v>
      </c>
      <c r="B11" s="2318"/>
      <c r="C11" s="231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0</v>
      </c>
      <c r="F12" s="1036"/>
      <c r="G12" s="1808">
        <f t="shared" ref="G12:G18" si="0">SUM(E12:F12)</f>
        <v>0</v>
      </c>
      <c r="H12" s="1037"/>
      <c r="I12" s="1036"/>
      <c r="J12" s="1808">
        <f t="shared" ref="J12:J18" si="1">SUM(H12:I12)</f>
        <v>0</v>
      </c>
    </row>
    <row r="13" spans="1:17" ht="15" customHeight="1" x14ac:dyDescent="0.2">
      <c r="A13" s="1032">
        <v>2</v>
      </c>
      <c r="B13" s="1033" t="s">
        <v>42</v>
      </c>
      <c r="C13" s="1034"/>
      <c r="D13" s="1035">
        <v>2330</v>
      </c>
      <c r="E13" s="1808">
        <f>'Expenditures 15-22'!K51</f>
        <v>186432</v>
      </c>
      <c r="F13" s="1036"/>
      <c r="G13" s="1808">
        <f t="shared" si="0"/>
        <v>186432</v>
      </c>
      <c r="H13" s="1037">
        <v>181935</v>
      </c>
      <c r="I13" s="1036"/>
      <c r="J13" s="1808">
        <f t="shared" si="1"/>
        <v>181935</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0" t="s">
        <v>7</v>
      </c>
      <c r="C18" s="2321"/>
      <c r="D18" s="232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186432</v>
      </c>
      <c r="F19" s="1810">
        <f t="shared" si="2"/>
        <v>0</v>
      </c>
      <c r="G19" s="1810">
        <f t="shared" si="2"/>
        <v>186432</v>
      </c>
      <c r="H19" s="1810">
        <f t="shared" si="2"/>
        <v>181935</v>
      </c>
      <c r="I19" s="1810">
        <f t="shared" si="2"/>
        <v>0</v>
      </c>
      <c r="J19" s="1810">
        <f t="shared" si="2"/>
        <v>181935</v>
      </c>
    </row>
    <row r="20" spans="1:10" ht="13.5" thickTop="1" x14ac:dyDescent="0.2">
      <c r="A20" s="1032">
        <v>9</v>
      </c>
      <c r="B20" s="2323" t="s">
        <v>1981</v>
      </c>
      <c r="C20" s="2323"/>
      <c r="D20" s="2324"/>
      <c r="E20" s="1043"/>
      <c r="F20" s="1043"/>
      <c r="G20" s="1043"/>
      <c r="H20" s="1043"/>
      <c r="I20" s="1043"/>
      <c r="J20" s="1811">
        <f>IF(AND(G19&gt;0,J19&gt;0),(((J19-G19)/G19)),"Enter Budget Data")</f>
        <v>-2.4121395468589085E-2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29"/>
      <c r="D26" s="2329"/>
      <c r="E26" s="1047"/>
      <c r="F26" s="2328"/>
      <c r="G26" s="2328"/>
    </row>
    <row r="27" spans="1:10" x14ac:dyDescent="0.2">
      <c r="B27" s="1044"/>
      <c r="C27" s="1048" t="s">
        <v>1033</v>
      </c>
      <c r="D27" s="1049"/>
      <c r="E27" s="1050"/>
      <c r="F27" s="2325" t="s">
        <v>1509</v>
      </c>
      <c r="G27" s="2325"/>
    </row>
    <row r="28" spans="1:10" ht="28.5" customHeight="1" x14ac:dyDescent="0.2">
      <c r="B28" s="1044"/>
      <c r="C28" s="2327"/>
      <c r="D28" s="2327"/>
      <c r="E28" s="1051"/>
      <c r="F28" s="2327"/>
      <c r="G28" s="2327"/>
    </row>
    <row r="29" spans="1:10" x14ac:dyDescent="0.2">
      <c r="B29" s="1044"/>
      <c r="C29" s="1052" t="s">
        <v>1561</v>
      </c>
      <c r="E29" s="1053"/>
      <c r="F29" s="2326" t="s">
        <v>1510</v>
      </c>
      <c r="G29" s="232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59"/>
    </row>
    <row r="36" spans="1:10" ht="13.5" customHeight="1" x14ac:dyDescent="0.2">
      <c r="B36" s="1058"/>
      <c r="C36" s="2310" t="s">
        <v>1983</v>
      </c>
      <c r="D36" s="2309"/>
      <c r="E36" s="2309"/>
      <c r="F36" s="2309"/>
      <c r="G36" s="2309"/>
      <c r="H36" s="2309"/>
      <c r="I36" s="2309"/>
      <c r="J36" s="1060"/>
    </row>
    <row r="37" spans="1:10" ht="22.5" customHeight="1" x14ac:dyDescent="0.2">
      <c r="C37" s="2309"/>
      <c r="D37" s="2309"/>
      <c r="E37" s="2309"/>
      <c r="F37" s="2309"/>
      <c r="G37" s="2309"/>
      <c r="H37" s="2309"/>
      <c r="I37" s="2309"/>
      <c r="J37" s="1060"/>
    </row>
    <row r="38" spans="1:10" ht="7.5" customHeight="1" x14ac:dyDescent="0.2">
      <c r="C38" s="1059"/>
      <c r="D38" s="1061"/>
      <c r="E38" s="1062"/>
      <c r="F38" s="1063"/>
      <c r="G38" s="1062"/>
    </row>
    <row r="39" spans="1:10" ht="13.5" customHeight="1" x14ac:dyDescent="0.2">
      <c r="B39" s="1058"/>
      <c r="C39" s="2306" t="s">
        <v>882</v>
      </c>
      <c r="D39" s="2307"/>
      <c r="E39" s="2307"/>
      <c r="F39" s="2307"/>
      <c r="G39" s="2307"/>
      <c r="H39" s="2307"/>
      <c r="I39" s="230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2088</v>
      </c>
    </row>
    <row r="6" spans="1:2" x14ac:dyDescent="0.2">
      <c r="A6" s="1065">
        <v>2</v>
      </c>
      <c r="B6" s="329" t="s">
        <v>2089</v>
      </c>
    </row>
    <row r="7" spans="1:2" x14ac:dyDescent="0.2">
      <c r="A7" s="1065">
        <v>3</v>
      </c>
      <c r="B7" s="329" t="s">
        <v>2090</v>
      </c>
    </row>
    <row r="8" spans="1:2" x14ac:dyDescent="0.2">
      <c r="A8" s="1065"/>
      <c r="B8" s="329" t="s">
        <v>2091</v>
      </c>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Bloomington Area Career Center</v>
      </c>
    </row>
    <row r="65" spans="2:2" x14ac:dyDescent="0.2">
      <c r="B65" s="1067">
        <f>COVER!A13</f>
        <v>17064087041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7" t="s">
        <v>1065</v>
      </c>
      <c r="B35" s="2047"/>
      <c r="C35" s="2047"/>
      <c r="D35" s="2047"/>
      <c r="E35" s="20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0" t="s">
        <v>1685</v>
      </c>
      <c r="B18" s="233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1987</v>
      </c>
      <c r="B2" s="2342"/>
      <c r="C2" s="2342"/>
      <c r="D2" s="2342"/>
      <c r="E2" s="2342"/>
      <c r="F2" s="2343"/>
      <c r="G2" s="1071"/>
      <c r="H2" s="1071"/>
    </row>
    <row r="3" spans="1:8" ht="57" customHeight="1" x14ac:dyDescent="0.2">
      <c r="A3" s="2344" t="s">
        <v>1686</v>
      </c>
      <c r="B3" s="2345"/>
      <c r="C3" s="2345"/>
      <c r="D3" s="2345"/>
      <c r="E3" s="2345"/>
      <c r="F3" s="2346"/>
      <c r="G3" s="1071"/>
      <c r="H3" s="1071"/>
    </row>
    <row r="4" spans="1:8" ht="14.25" customHeight="1" x14ac:dyDescent="0.2">
      <c r="A4" s="2350" t="s">
        <v>1988</v>
      </c>
      <c r="B4" s="2351"/>
      <c r="C4" s="2351"/>
      <c r="D4" s="2351"/>
      <c r="E4" s="2351"/>
      <c r="F4" s="2352"/>
      <c r="G4" s="1071"/>
      <c r="H4" s="1071"/>
    </row>
    <row r="5" spans="1:8" ht="14.25" customHeight="1" x14ac:dyDescent="0.2">
      <c r="A5" s="2353" t="s">
        <v>1984</v>
      </c>
      <c r="B5" s="2354"/>
      <c r="C5" s="2354"/>
      <c r="D5" s="2354"/>
      <c r="E5" s="2354"/>
      <c r="F5" s="2355"/>
      <c r="G5" s="1071"/>
      <c r="H5" s="1071"/>
    </row>
    <row r="6" spans="1:8" s="1072" customFormat="1" ht="41.25" customHeight="1" x14ac:dyDescent="0.2">
      <c r="A6" s="2347" t="s">
        <v>1691</v>
      </c>
      <c r="B6" s="2348"/>
      <c r="C6" s="2348"/>
      <c r="D6" s="2348"/>
      <c r="E6" s="2348"/>
      <c r="F6" s="234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1688062</v>
      </c>
      <c r="C8" s="1812">
        <f>'Acct Summary 7-8'!D8</f>
        <v>0</v>
      </c>
      <c r="D8" s="1812">
        <f>'Acct Summary 7-8'!F8</f>
        <v>0</v>
      </c>
      <c r="E8" s="1812">
        <f>'Acct Summary 7-8'!I8</f>
        <v>0</v>
      </c>
      <c r="F8" s="1812">
        <f>SUM(B8:E8)</f>
        <v>1688062</v>
      </c>
    </row>
    <row r="9" spans="1:8" s="1076" customFormat="1" ht="14.25" customHeight="1" thickBot="1" x14ac:dyDescent="0.25">
      <c r="A9" s="1075" t="s">
        <v>1369</v>
      </c>
      <c r="B9" s="1813">
        <f>'Acct Summary 7-8'!C17</f>
        <v>1378076</v>
      </c>
      <c r="C9" s="1813">
        <f>'Acct Summary 7-8'!D17</f>
        <v>0</v>
      </c>
      <c r="D9" s="1813">
        <f>'Acct Summary 7-8'!F17</f>
        <v>0</v>
      </c>
      <c r="E9" s="1812"/>
      <c r="F9" s="1812">
        <f>SUM(B9:E9)</f>
        <v>1378076</v>
      </c>
    </row>
    <row r="10" spans="1:8" s="1076" customFormat="1" ht="14.25" thickTop="1" thickBot="1" x14ac:dyDescent="0.25">
      <c r="A10" s="1077" t="s">
        <v>1370</v>
      </c>
      <c r="B10" s="1814">
        <f>(B8-B9)</f>
        <v>309986</v>
      </c>
      <c r="C10" s="1814">
        <f>(C8-C9)</f>
        <v>0</v>
      </c>
      <c r="D10" s="1814">
        <f>(D8-D9)</f>
        <v>0</v>
      </c>
      <c r="E10" s="1813">
        <f>(E8-E9)</f>
        <v>0</v>
      </c>
      <c r="F10" s="1815">
        <f>SUM(F8-F9)</f>
        <v>309986</v>
      </c>
    </row>
    <row r="11" spans="1:8" s="1076" customFormat="1" ht="14.25" thickTop="1" thickBot="1" x14ac:dyDescent="0.25">
      <c r="A11" s="1078" t="s">
        <v>1985</v>
      </c>
      <c r="B11" s="1816">
        <f>'Acct Summary 7-8'!C81</f>
        <v>851931</v>
      </c>
      <c r="C11" s="1816">
        <f>'Acct Summary 7-8'!D81</f>
        <v>0</v>
      </c>
      <c r="D11" s="1816">
        <f>'Acct Summary 7-8'!F81</f>
        <v>0</v>
      </c>
      <c r="E11" s="1816">
        <f>'Acct Summary 7-8'!I81</f>
        <v>0</v>
      </c>
      <c r="F11" s="1817">
        <f>SUM(B11:E11)</f>
        <v>851931</v>
      </c>
    </row>
    <row r="12" spans="1:8" ht="16.5" customHeight="1" thickTop="1" x14ac:dyDescent="0.2">
      <c r="A12" s="1079"/>
      <c r="B12" s="1080"/>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1"/>
      <c r="B13" s="1082"/>
      <c r="C13" s="2335"/>
      <c r="D13" s="2336"/>
      <c r="E13" s="2336"/>
      <c r="F13" s="2337"/>
      <c r="H13" s="1071"/>
    </row>
    <row r="14" spans="1:8" ht="19.5" customHeight="1" x14ac:dyDescent="0.2">
      <c r="A14" s="1081"/>
      <c r="B14" s="1082"/>
      <c r="C14" s="2335"/>
      <c r="D14" s="2336"/>
      <c r="E14" s="2336"/>
      <c r="F14" s="2337"/>
      <c r="H14" s="1071"/>
    </row>
    <row r="15" spans="1:8" ht="17.25" customHeight="1" x14ac:dyDescent="0.2">
      <c r="A15" s="1081"/>
      <c r="B15" s="1082"/>
      <c r="C15" s="2338"/>
      <c r="D15" s="2339"/>
      <c r="E15" s="2339"/>
      <c r="F15" s="2340"/>
      <c r="H15" s="1071"/>
    </row>
    <row r="16" spans="1:8" s="310" customFormat="1" ht="51.75" hidden="1" customHeight="1" x14ac:dyDescent="0.2">
      <c r="A16" s="2334" t="s">
        <v>1687</v>
      </c>
      <c r="B16" s="2334"/>
      <c r="C16" s="2334"/>
      <c r="D16" s="2334"/>
      <c r="E16" s="233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6" t="s">
        <v>665</v>
      </c>
      <c r="B3" s="2357"/>
      <c r="C3" s="2357"/>
      <c r="D3" s="235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7" t="s">
        <v>1504</v>
      </c>
      <c r="D7" s="236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59" t="s">
        <v>1008</v>
      </c>
      <c r="B15" s="2360"/>
      <c r="C15" s="2360"/>
      <c r="D15" s="2361"/>
    </row>
    <row r="16" spans="1:4" s="665" customFormat="1" ht="24" customHeight="1" x14ac:dyDescent="0.2">
      <c r="A16" s="2362" t="s">
        <v>663</v>
      </c>
      <c r="B16" s="2363"/>
      <c r="C16" s="2363"/>
      <c r="D16" s="236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1" t="s">
        <v>314</v>
      </c>
      <c r="D21" s="2372"/>
    </row>
    <row r="22" spans="1:10" ht="12.75" x14ac:dyDescent="0.2">
      <c r="A22" s="1136"/>
      <c r="B22" s="1137">
        <v>2</v>
      </c>
      <c r="C22" s="2369" t="s">
        <v>1524</v>
      </c>
      <c r="D22" s="237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3" t="s">
        <v>536</v>
      </c>
      <c r="D43" s="237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5" t="s">
        <v>784</v>
      </c>
      <c r="D56" s="236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5" t="s">
        <v>1696</v>
      </c>
      <c r="D70" s="236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ENTRY IS REQUIRED!</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PLEASE ENTER 9 MO ADA.</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17064087041</v>
      </c>
    </row>
    <row r="3" spans="1:2" x14ac:dyDescent="0.2">
      <c r="A3" t="s">
        <v>956</v>
      </c>
      <c r="B3" s="138" t="str">
        <f>COVER!A15</f>
        <v>McLean</v>
      </c>
    </row>
    <row r="4" spans="1:2" x14ac:dyDescent="0.2">
      <c r="A4" t="s">
        <v>1007</v>
      </c>
      <c r="B4" s="138" t="str">
        <f>COVER!A17</f>
        <v>Bloomington Area Career Center</v>
      </c>
    </row>
    <row r="5" spans="1:2" x14ac:dyDescent="0.2">
      <c r="A5" t="s">
        <v>704</v>
      </c>
      <c r="B5" s="138" t="str">
        <f>COVER!A38</f>
        <v>Dr. Barry Reilly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v>
      </c>
    </row>
    <row r="18" spans="1:2" x14ac:dyDescent="0.2">
      <c r="A18" t="s">
        <v>1150</v>
      </c>
      <c r="B18" s="138" t="str">
        <f>COVER!T17</f>
        <v>4200 N Knoxville Ave</v>
      </c>
    </row>
    <row r="19" spans="1:2" x14ac:dyDescent="0.2">
      <c r="A19" t="s">
        <v>886</v>
      </c>
      <c r="B19" s="138" t="str">
        <f>COVER!T25</f>
        <v>timcustis@gorenzcpa.com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777509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851931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0</v>
      </c>
      <c r="D92" s="2" t="str">
        <f t="shared" si="0"/>
        <v>Error?</v>
      </c>
    </row>
    <row r="93" spans="1:4" x14ac:dyDescent="0.2">
      <c r="A93" s="5">
        <v>32</v>
      </c>
      <c r="B93" s="138">
        <f>'Assets-Liab 5-6'!C41</f>
        <v>851931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79648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79648</v>
      </c>
      <c r="C279" s="2" t="s">
        <v>573</v>
      </c>
      <c r="D279" s="2" t="str">
        <f t="shared" si="3"/>
        <v>Error?</v>
      </c>
    </row>
    <row r="280" spans="1:4" x14ac:dyDescent="0.2">
      <c r="A280" s="5">
        <v>219</v>
      </c>
      <c r="B280" s="138">
        <f>'Assets-Liab 5-6'!M40</f>
        <v>79648</v>
      </c>
      <c r="D280" s="2" t="str">
        <f t="shared" si="3"/>
        <v>Error?</v>
      </c>
    </row>
    <row r="281" spans="1:4" x14ac:dyDescent="0.2">
      <c r="A281" s="5">
        <v>220</v>
      </c>
      <c r="B281" s="138">
        <f>'Assets-Liab 5-6'!M41</f>
        <v>79648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663750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663750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30913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30913</v>
      </c>
      <c r="C727" s="2" t="s">
        <v>573</v>
      </c>
      <c r="D727" s="2" t="str">
        <f t="shared" si="10"/>
        <v>Error?</v>
      </c>
    </row>
    <row r="728" spans="1:4" x14ac:dyDescent="0.2">
      <c r="A728" s="5">
        <v>667</v>
      </c>
      <c r="B728" s="138">
        <f>'Expenditures 15-22'!C44</f>
        <v>17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119917</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150847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814597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107526</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107526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6441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6441</v>
      </c>
      <c r="C785" s="2" t="s">
        <v>573</v>
      </c>
      <c r="D785" s="2" t="str">
        <f t="shared" si="11"/>
        <v>Error?</v>
      </c>
    </row>
    <row r="786" spans="1:4" x14ac:dyDescent="0.2">
      <c r="A786" s="5">
        <v>725</v>
      </c>
      <c r="B786" s="138">
        <f>'Expenditures 15-22'!D44</f>
        <v>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42985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49429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156955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32273</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32273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609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609</v>
      </c>
      <c r="C843" s="2" t="s">
        <v>573</v>
      </c>
      <c r="D843" s="2" t="str">
        <f t="shared" si="12"/>
        <v>Error?</v>
      </c>
    </row>
    <row r="844" spans="1:4" x14ac:dyDescent="0.2">
      <c r="A844" s="5">
        <v>783</v>
      </c>
      <c r="B844" s="138">
        <f>'Expenditures 15-22'!E44</f>
        <v>8634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340</v>
      </c>
      <c r="D846" s="2" t="str">
        <f t="shared" si="12"/>
        <v>Error?</v>
      </c>
    </row>
    <row r="847" spans="1:4" x14ac:dyDescent="0.2">
      <c r="A847" s="5">
        <v>786</v>
      </c>
      <c r="B847" s="138">
        <f>'Expenditures 15-22'!E47</f>
        <v>8974</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17658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27241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221831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72592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72592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5928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5928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5267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11195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83787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10027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10027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7681</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7681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7681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17708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486</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41945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1248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1248</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605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1853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39400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83198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886654</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928113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37963</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37963</v>
      </c>
      <c r="C1115" s="2" t="s">
        <v>573</v>
      </c>
      <c r="D1115" s="2" t="str">
        <f t="shared" si="16"/>
        <v>Error?</v>
      </c>
    </row>
    <row r="1116" spans="1:4" x14ac:dyDescent="0.2">
      <c r="A1116" s="5">
        <v>1055</v>
      </c>
      <c r="B1116" s="138">
        <f>'Expenditures 15-22'!K44</f>
        <v>23511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340</v>
      </c>
      <c r="C1118" s="2" t="s">
        <v>573</v>
      </c>
      <c r="D1118" s="2" t="str">
        <f t="shared" si="16"/>
        <v>Error?</v>
      </c>
    </row>
    <row r="1119" spans="1:4" x14ac:dyDescent="0.2">
      <c r="A1119" s="5">
        <v>1058</v>
      </c>
      <c r="B1119" s="138">
        <f>'Expenditures 15-22'!K47</f>
        <v>23851</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186432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248246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201717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1378076</v>
      </c>
      <c r="C1152" s="2" t="s">
        <v>573</v>
      </c>
      <c r="D1152" s="2" t="str">
        <f t="shared" si="17"/>
        <v>Error?</v>
      </c>
    </row>
    <row r="1153" spans="1:4" x14ac:dyDescent="0.2">
      <c r="A1153" s="5">
        <v>1092</v>
      </c>
      <c r="B1153" s="138">
        <f>'Expenditures 15-22'!K115</f>
        <v>309986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541945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851931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67649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67649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17708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17708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5709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5709</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79648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79648</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29641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29641</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7965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7965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5709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5709</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31897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31897</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47751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47751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162317</v>
      </c>
      <c r="C2088" s="2" t="s">
        <v>573</v>
      </c>
      <c r="D2088" s="2" t="str">
        <f t="shared" si="31"/>
        <v>Error?</v>
      </c>
    </row>
    <row r="2089" spans="1:4" x14ac:dyDescent="0.2">
      <c r="A2089" s="5">
        <v>2028</v>
      </c>
      <c r="B2089" s="138">
        <f>'Expenditures 15-22'!K92</f>
        <v>39400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851931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817793</v>
      </c>
      <c r="C2551" s="2" t="s">
        <v>573</v>
      </c>
      <c r="D2551" s="2" t="str">
        <f t="shared" si="38"/>
        <v>Error?</v>
      </c>
    </row>
    <row r="2552" spans="1:4" x14ac:dyDescent="0.2">
      <c r="A2552" s="10">
        <v>2491</v>
      </c>
      <c r="D2552" s="2" t="str">
        <f t="shared" si="38"/>
        <v>OK</v>
      </c>
    </row>
    <row r="2553" spans="1:4" x14ac:dyDescent="0.2">
      <c r="A2553" s="5">
        <v>2492</v>
      </c>
      <c r="B2553" s="138">
        <f>'Acct Summary 7-8'!C6</f>
        <v>845699</v>
      </c>
      <c r="C2553" s="2" t="s">
        <v>573</v>
      </c>
      <c r="D2553" s="2" t="str">
        <f t="shared" si="38"/>
        <v>Error?</v>
      </c>
    </row>
    <row r="2554" spans="1:4" x14ac:dyDescent="0.2">
      <c r="A2554" s="5">
        <v>2493</v>
      </c>
      <c r="B2554" s="138">
        <f>'Acct Summary 7-8'!C7</f>
        <v>24570</v>
      </c>
      <c r="C2554" s="2" t="s">
        <v>573</v>
      </c>
      <c r="D2554" s="2" t="str">
        <f t="shared" si="38"/>
        <v>Error?</v>
      </c>
    </row>
    <row r="2555" spans="1:4" x14ac:dyDescent="0.2">
      <c r="A2555" s="5">
        <v>2494</v>
      </c>
      <c r="B2555" s="138">
        <f>'Acct Summary 7-8'!C8</f>
        <v>1688062</v>
      </c>
      <c r="C2555" s="2" t="s">
        <v>573</v>
      </c>
      <c r="D2555" s="2" t="str">
        <f t="shared" si="38"/>
        <v>Error?</v>
      </c>
    </row>
    <row r="2556" spans="1:4" x14ac:dyDescent="0.2">
      <c r="A2556" s="5">
        <v>2495</v>
      </c>
      <c r="B2556" s="138">
        <f>'Acct Summary 7-8'!C12</f>
        <v>928113</v>
      </c>
      <c r="C2556" s="2" t="s">
        <v>573</v>
      </c>
      <c r="D2556" s="2" t="str">
        <f t="shared" si="38"/>
        <v>Error?</v>
      </c>
    </row>
    <row r="2557" spans="1:4" x14ac:dyDescent="0.2">
      <c r="A2557" s="5">
        <v>2496</v>
      </c>
      <c r="B2557" s="138">
        <f>'Acct Summary 7-8'!C13</f>
        <v>248246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201717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1378076</v>
      </c>
      <c r="C2561" s="2" t="s">
        <v>573</v>
      </c>
      <c r="D2561" s="2" t="str">
        <f t="shared" si="39"/>
        <v>Error?</v>
      </c>
    </row>
    <row r="2562" spans="1:4" x14ac:dyDescent="0.2">
      <c r="A2562" s="5">
        <v>2501</v>
      </c>
      <c r="B2562" s="138">
        <f>'Acct Summary 7-8'!C20</f>
        <v>309986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119917</v>
      </c>
      <c r="D2718" s="2" t="str">
        <f t="shared" si="41"/>
        <v>Error?</v>
      </c>
    </row>
    <row r="2719" spans="1:4" x14ac:dyDescent="0.2">
      <c r="A2719" s="5">
        <v>2658</v>
      </c>
      <c r="B2719" s="138">
        <f>'Expenditures 15-22'!D51</f>
        <v>42985</v>
      </c>
      <c r="D2719" s="2" t="str">
        <f t="shared" si="41"/>
        <v>Error?</v>
      </c>
    </row>
    <row r="2720" spans="1:4" x14ac:dyDescent="0.2">
      <c r="A2720" s="5">
        <v>2659</v>
      </c>
      <c r="B2720" s="138">
        <f>'Expenditures 15-22'!E51</f>
        <v>17658</v>
      </c>
      <c r="D2720" s="2" t="str">
        <f t="shared" si="41"/>
        <v>Error?</v>
      </c>
    </row>
    <row r="2721" spans="1:4" x14ac:dyDescent="0.2">
      <c r="A2721" s="5">
        <v>2660</v>
      </c>
      <c r="B2721" s="138">
        <f>'Expenditures 15-22'!F51</f>
        <v>5267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605</v>
      </c>
      <c r="D2723" s="2" t="str">
        <f t="shared" si="41"/>
        <v>Error?</v>
      </c>
    </row>
    <row r="2724" spans="1:4" x14ac:dyDescent="0.2">
      <c r="A2724" s="5">
        <v>2663</v>
      </c>
      <c r="B2724" s="138">
        <f>'Expenditures 15-22'!K51</f>
        <v>186432</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162317</v>
      </c>
      <c r="C2789" s="2" t="s">
        <v>573</v>
      </c>
      <c r="D2789" s="2" t="str">
        <f t="shared" si="42"/>
        <v>Error?</v>
      </c>
    </row>
    <row r="2790" spans="1:4" x14ac:dyDescent="0.2">
      <c r="A2790" s="5">
        <v>2729</v>
      </c>
      <c r="B2790" s="138">
        <f>'Expenditures 15-22'!E102</f>
        <v>162317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162317</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162317</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309986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34422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1688062</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1378076</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851931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24570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776400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776400</v>
      </c>
      <c r="C5087" s="2" t="s">
        <v>573</v>
      </c>
      <c r="D5087" s="2" t="str">
        <f t="shared" si="78"/>
        <v>Error?</v>
      </c>
    </row>
    <row r="5088" spans="1:4" x14ac:dyDescent="0.2">
      <c r="A5088" s="5">
        <v>5027</v>
      </c>
      <c r="B5088" s="138">
        <f>'Revenues 9-14'!C65</f>
        <v>15305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15305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12250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12238</v>
      </c>
      <c r="D5117" s="2" t="str">
        <f t="shared" si="78"/>
        <v>Error?</v>
      </c>
    </row>
    <row r="5118" spans="1:4" x14ac:dyDescent="0.2">
      <c r="A5118" s="5">
        <v>5057</v>
      </c>
      <c r="B5118" s="138">
        <f>'Revenues 9-14'!C106</f>
        <v>1600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26088</v>
      </c>
      <c r="C5120" s="2" t="s">
        <v>573</v>
      </c>
      <c r="D5120" s="2" t="str">
        <f t="shared" si="79"/>
        <v>Error?</v>
      </c>
    </row>
    <row r="5121" spans="1:4" x14ac:dyDescent="0.2">
      <c r="A5121" s="5">
        <v>5060</v>
      </c>
      <c r="B5121" s="138">
        <f>'Revenues 9-14'!C109</f>
        <v>817793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845699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845699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845699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845699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24570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24570</v>
      </c>
      <c r="C5326" s="2" t="s">
        <v>573</v>
      </c>
      <c r="D5326" s="2" t="str">
        <f t="shared" si="82"/>
        <v>Error?</v>
      </c>
    </row>
    <row r="5327" spans="1:5" x14ac:dyDescent="0.2">
      <c r="A5327" s="5">
        <v>5266</v>
      </c>
      <c r="B5327" s="138">
        <f>'Revenues 9-14'!C268</f>
        <v>1688062</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40000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309986</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0.36386280109539387</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41459</v>
      </c>
      <c r="D6890" s="2" t="str">
        <f t="shared" si="106"/>
        <v>Error?</v>
      </c>
    </row>
    <row r="6891" spans="1:4" x14ac:dyDescent="0.2">
      <c r="A6891">
        <v>6830</v>
      </c>
      <c r="B6891" s="138">
        <f>'Expenditures 15-22'!K27</f>
        <v>41459</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39400</v>
      </c>
      <c r="D6987" s="2" t="str">
        <f t="shared" si="108"/>
        <v>Error?</v>
      </c>
    </row>
    <row r="6988" spans="1:4" x14ac:dyDescent="0.2">
      <c r="A6988">
        <v>6927</v>
      </c>
      <c r="B6988" s="138">
        <f>'Expenditures 15-22'!K88</f>
        <v>39400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39400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7965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8" t="s">
        <v>1191</v>
      </c>
      <c r="B2" s="2398"/>
      <c r="C2" s="2398"/>
      <c r="D2" s="2398"/>
      <c r="E2" s="2398"/>
      <c r="F2" s="2398"/>
      <c r="G2" s="2398"/>
      <c r="H2" s="2398"/>
      <c r="I2" s="2398"/>
      <c r="J2" s="2398"/>
      <c r="K2" s="2398"/>
      <c r="L2" s="2398"/>
    </row>
    <row r="3" spans="1:29" ht="13.5" customHeight="1" x14ac:dyDescent="0.2">
      <c r="A3" s="2384" t="s">
        <v>1190</v>
      </c>
      <c r="B3" s="2384"/>
      <c r="C3" s="2384"/>
      <c r="D3" s="2384"/>
      <c r="E3" s="2384"/>
      <c r="F3" s="2384"/>
      <c r="G3" s="2384"/>
      <c r="H3" s="2384"/>
      <c r="I3" s="2384"/>
      <c r="J3" s="2384"/>
      <c r="K3" s="2384"/>
      <c r="L3" s="2384"/>
    </row>
    <row r="4" spans="1:29" ht="13.5" customHeight="1" x14ac:dyDescent="0.2">
      <c r="A4" s="2398" t="s">
        <v>1989</v>
      </c>
      <c r="B4" s="2415"/>
      <c r="C4" s="2415"/>
      <c r="D4" s="2415"/>
      <c r="E4" s="2415"/>
      <c r="F4" s="2415"/>
      <c r="G4" s="2415"/>
      <c r="H4" s="2415"/>
      <c r="I4" s="2415"/>
      <c r="J4" s="2415"/>
      <c r="K4" s="2415"/>
      <c r="L4" s="241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78" t="str">
        <f>COVER!A17</f>
        <v>Bloomington Area Career Center</v>
      </c>
      <c r="B7" s="2379"/>
      <c r="C7" s="2379"/>
      <c r="D7" s="2416"/>
      <c r="E7" s="2417">
        <f>COVER!A13</f>
        <v>17064087041</v>
      </c>
      <c r="F7" s="2418"/>
      <c r="G7" s="2385" t="str">
        <f>COVER!T23</f>
        <v>066-005027</v>
      </c>
      <c r="H7" s="2386"/>
      <c r="I7" s="2386"/>
      <c r="J7" s="2386"/>
      <c r="K7" s="2386"/>
      <c r="L7" s="2387"/>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88"/>
      <c r="B9" s="2389"/>
      <c r="C9" s="2389"/>
      <c r="D9" s="2389"/>
      <c r="E9" s="2389"/>
      <c r="F9" s="2390"/>
      <c r="G9" s="2391" t="str">
        <f>COVER!T13</f>
        <v>Gorenz and Associates, Ltd.</v>
      </c>
      <c r="H9" s="2392"/>
      <c r="I9" s="2392"/>
      <c r="J9" s="2392"/>
      <c r="K9" s="2392"/>
      <c r="L9" s="2393"/>
    </row>
    <row r="10" spans="1:29" ht="13.5" customHeight="1" x14ac:dyDescent="0.2">
      <c r="A10" s="2375" t="str">
        <f>COVER!A38</f>
        <v>Dr. Barry Reilly</v>
      </c>
      <c r="B10" s="2376"/>
      <c r="C10" s="2376"/>
      <c r="D10" s="2376"/>
      <c r="E10" s="2376"/>
      <c r="F10" s="2377"/>
      <c r="G10" s="2391" t="str">
        <f>COVER!T17</f>
        <v>4200 N Knoxville Ave</v>
      </c>
      <c r="H10" s="2404"/>
      <c r="I10" s="2404"/>
      <c r="J10" s="2404"/>
      <c r="K10" s="2404"/>
      <c r="L10" s="2405"/>
    </row>
    <row r="11" spans="1:29" ht="13.5" customHeight="1" x14ac:dyDescent="0.2">
      <c r="A11" s="1181" t="s">
        <v>1519</v>
      </c>
      <c r="B11" s="1182"/>
      <c r="C11" s="1183"/>
      <c r="D11" s="1188"/>
      <c r="E11" s="1183"/>
      <c r="F11" s="1187"/>
      <c r="G11" s="2391" t="str">
        <f>COVER!T19</f>
        <v>Peoria</v>
      </c>
      <c r="H11" s="2404"/>
      <c r="I11" s="2404"/>
      <c r="J11" s="2404"/>
      <c r="K11" s="2404"/>
      <c r="L11" s="2405"/>
    </row>
    <row r="12" spans="1:29" ht="13.5" customHeight="1" x14ac:dyDescent="0.2">
      <c r="A12" s="2409" t="s">
        <v>1518</v>
      </c>
      <c r="B12" s="2410"/>
      <c r="C12" s="2410"/>
      <c r="D12" s="2410"/>
      <c r="E12" s="2410"/>
      <c r="F12" s="2411"/>
      <c r="G12" s="2406"/>
      <c r="H12" s="2407"/>
      <c r="I12" s="2407"/>
      <c r="J12" s="2407"/>
      <c r="K12" s="2407"/>
      <c r="L12" s="2408"/>
    </row>
    <row r="13" spans="1:29" ht="13.5" customHeight="1" x14ac:dyDescent="0.2">
      <c r="A13" s="2391"/>
      <c r="B13" s="2404"/>
      <c r="C13" s="2404"/>
      <c r="D13" s="2404"/>
      <c r="E13" s="2404"/>
      <c r="F13" s="2405"/>
      <c r="G13" s="2399" t="s">
        <v>1520</v>
      </c>
      <c r="H13" s="2400"/>
      <c r="I13" s="2412" t="str">
        <f>COVER!T25</f>
        <v>timcustis@gorenzcpa.com</v>
      </c>
      <c r="J13" s="2413"/>
      <c r="K13" s="2413"/>
      <c r="L13" s="2414"/>
    </row>
    <row r="14" spans="1:29" ht="13.5" customHeight="1" x14ac:dyDescent="0.2">
      <c r="A14" s="2391" t="str">
        <f>COVER!A19</f>
        <v>300 East Monroe Street</v>
      </c>
      <c r="B14" s="2404"/>
      <c r="C14" s="2404"/>
      <c r="D14" s="2404"/>
      <c r="E14" s="2404"/>
      <c r="F14" s="2405"/>
      <c r="G14" s="1192" t="s">
        <v>1185</v>
      </c>
      <c r="H14" s="1190"/>
      <c r="I14" s="1190"/>
      <c r="J14" s="1190"/>
      <c r="K14" s="1190"/>
      <c r="L14" s="1191"/>
    </row>
    <row r="15" spans="1:29" ht="13.5" customHeight="1" x14ac:dyDescent="0.2">
      <c r="A15" s="2391" t="str">
        <f>COVER!A21</f>
        <v>Bloomington</v>
      </c>
      <c r="B15" s="2404"/>
      <c r="C15" s="2404"/>
      <c r="D15" s="2404"/>
      <c r="E15" s="2404"/>
      <c r="F15" s="2405"/>
      <c r="G15" s="2401" t="str">
        <f>COVER!T15</f>
        <v>Tim C. Custis</v>
      </c>
      <c r="H15" s="2402"/>
      <c r="I15" s="2402"/>
      <c r="J15" s="2402"/>
      <c r="K15" s="2402"/>
      <c r="L15" s="2403"/>
    </row>
    <row r="16" spans="1:29" ht="12.2" customHeight="1" x14ac:dyDescent="0.2">
      <c r="A16" s="2381">
        <f>COVER!A25</f>
        <v>61701</v>
      </c>
      <c r="B16" s="2382"/>
      <c r="C16" s="2382"/>
      <c r="D16" s="2382"/>
      <c r="E16" s="2382"/>
      <c r="F16" s="2383"/>
      <c r="G16" s="2394"/>
      <c r="H16" s="2395"/>
      <c r="I16" s="2395"/>
      <c r="J16" s="2395"/>
      <c r="K16" s="2395"/>
      <c r="L16" s="2396"/>
    </row>
    <row r="17" spans="1:13" ht="12.2" customHeight="1" x14ac:dyDescent="0.2">
      <c r="A17" s="2397"/>
      <c r="B17" s="2382"/>
      <c r="C17" s="2382"/>
      <c r="D17" s="2382"/>
      <c r="E17" s="2382"/>
      <c r="F17" s="2383"/>
      <c r="G17" s="1192" t="s">
        <v>1184</v>
      </c>
      <c r="H17" s="1190"/>
      <c r="I17" s="1190"/>
      <c r="J17" s="1190"/>
      <c r="K17" s="1194" t="s">
        <v>1183</v>
      </c>
      <c r="L17" s="1187"/>
      <c r="M17" s="1180"/>
    </row>
    <row r="18" spans="1:13" ht="12.2" customHeight="1" x14ac:dyDescent="0.2">
      <c r="A18" s="2375"/>
      <c r="B18" s="2376"/>
      <c r="C18" s="2376"/>
      <c r="D18" s="2376"/>
      <c r="E18" s="2376"/>
      <c r="F18" s="2377"/>
      <c r="G18" s="2378" t="str">
        <f>COVER!T21</f>
        <v>309-685-7621</v>
      </c>
      <c r="H18" s="2379"/>
      <c r="I18" s="2379"/>
      <c r="J18" s="2379"/>
      <c r="K18" s="2378" t="str">
        <f>COVER!X21</f>
        <v>309-685-4758</v>
      </c>
      <c r="L18" s="2380"/>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19" t="str">
        <f>'Single Audit Cover'!A7</f>
        <v>Bloomington Area Career Center</v>
      </c>
      <c r="B1" s="2415"/>
      <c r="C1" s="2415"/>
      <c r="D1" s="2415"/>
    </row>
    <row r="2" spans="1:11" s="1209" customFormat="1" ht="12.75" x14ac:dyDescent="0.2">
      <c r="A2" s="2420">
        <f>'Single Audit Cover'!E7</f>
        <v>17064087041</v>
      </c>
      <c r="B2" s="2421"/>
      <c r="C2" s="2421"/>
      <c r="D2" s="2421"/>
    </row>
    <row r="3" spans="1:11" s="1209" customFormat="1" ht="12.75" x14ac:dyDescent="0.2">
      <c r="A3" s="2419" t="s">
        <v>1513</v>
      </c>
      <c r="B3" s="2415"/>
      <c r="C3" s="2415"/>
      <c r="D3" s="241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3" t="str">
        <f>'Single Audit Cover'!A7</f>
        <v>Bloomington Area Career Center</v>
      </c>
      <c r="B1" s="2423"/>
      <c r="C1" s="2423"/>
      <c r="D1" s="2423"/>
      <c r="E1" s="2423"/>
    </row>
    <row r="2" spans="1:5" x14ac:dyDescent="0.2">
      <c r="A2" s="2424">
        <f>'Single Audit Cover'!E7</f>
        <v>17064087041</v>
      </c>
      <c r="B2" s="2424"/>
      <c r="C2" s="2424"/>
      <c r="D2" s="2424"/>
      <c r="E2" s="2424"/>
    </row>
    <row r="3" spans="1:5" ht="4.5" customHeight="1" x14ac:dyDescent="0.2"/>
    <row r="4" spans="1:5" x14ac:dyDescent="0.2">
      <c r="A4" s="2423" t="s">
        <v>1245</v>
      </c>
      <c r="B4" s="2423"/>
      <c r="C4" s="2423"/>
      <c r="D4" s="2423"/>
      <c r="E4" s="2423"/>
    </row>
    <row r="5" spans="1:5" x14ac:dyDescent="0.2">
      <c r="A5" s="2426" t="str">
        <f>'Single Audit Cover'!A4</f>
        <v>Year Ending June 30, 2019</v>
      </c>
      <c r="B5" s="2426"/>
      <c r="C5" s="2426"/>
      <c r="D5" s="2426"/>
      <c r="E5" s="2426"/>
    </row>
    <row r="6" spans="1:5" x14ac:dyDescent="0.2">
      <c r="A6" s="2423" t="s">
        <v>1244</v>
      </c>
      <c r="B6" s="2423"/>
      <c r="C6" s="2423"/>
      <c r="D6" s="2423"/>
      <c r="E6" s="2423"/>
    </row>
    <row r="8" spans="1:5" x14ac:dyDescent="0.2">
      <c r="A8" s="1254" t="s">
        <v>1243</v>
      </c>
    </row>
    <row r="10" spans="1:5" x14ac:dyDescent="0.2">
      <c r="A10" s="1255" t="s">
        <v>1242</v>
      </c>
      <c r="B10" s="1256" t="s">
        <v>1241</v>
      </c>
      <c r="C10" s="1256"/>
      <c r="D10" s="1257">
        <f>SUM('Acct Summary 7-8'!C7:K7)</f>
        <v>24570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0</v>
      </c>
    </row>
    <row r="19" spans="1:4" ht="13.5" thickBot="1" x14ac:dyDescent="0.25">
      <c r="A19" s="1259" t="s">
        <v>1235</v>
      </c>
      <c r="D19" s="1260">
        <f>SUM(D10:D17)</f>
        <v>24570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5"/>
      <c r="B24" s="2425"/>
      <c r="D24" s="1262"/>
    </row>
    <row r="25" spans="1:4" x14ac:dyDescent="0.2">
      <c r="A25" s="2422"/>
      <c r="B25" s="2422"/>
      <c r="D25" s="1262"/>
    </row>
    <row r="26" spans="1:4" x14ac:dyDescent="0.2">
      <c r="A26" s="2422"/>
      <c r="B26" s="2422"/>
      <c r="D26" s="1262"/>
    </row>
    <row r="27" spans="1:4" x14ac:dyDescent="0.2">
      <c r="A27" s="2422"/>
      <c r="B27" s="2422"/>
      <c r="D27" s="1262"/>
    </row>
    <row r="28" spans="1:4" x14ac:dyDescent="0.2">
      <c r="A28" s="2422"/>
      <c r="B28" s="2422"/>
      <c r="D28" s="1262"/>
    </row>
    <row r="29" spans="1:4" x14ac:dyDescent="0.2">
      <c r="A29" s="2422"/>
      <c r="B29" s="2422"/>
      <c r="D29" s="1262"/>
    </row>
    <row r="30" spans="1:4" x14ac:dyDescent="0.2">
      <c r="A30" s="2422"/>
      <c r="B30" s="2422"/>
      <c r="D30" s="1262"/>
    </row>
    <row r="32" spans="1:4" x14ac:dyDescent="0.2">
      <c r="A32" s="1254" t="s">
        <v>1233</v>
      </c>
      <c r="D32" s="1257">
        <f>SUM(D19:D30)</f>
        <v>24570</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2"/>
      <c r="B40" s="2422"/>
      <c r="D40" s="1262"/>
    </row>
    <row r="41" spans="1:4" x14ac:dyDescent="0.2">
      <c r="A41" s="2422"/>
      <c r="B41" s="2422"/>
      <c r="D41" s="1265"/>
    </row>
    <row r="42" spans="1:4" x14ac:dyDescent="0.2">
      <c r="A42" s="2422"/>
      <c r="B42" s="2422"/>
      <c r="D42" s="1265"/>
    </row>
    <row r="43" spans="1:4" x14ac:dyDescent="0.2">
      <c r="A43" s="2422"/>
      <c r="B43" s="2422"/>
      <c r="D43" s="1265"/>
    </row>
    <row r="44" spans="1:4" x14ac:dyDescent="0.2">
      <c r="A44" s="2422"/>
      <c r="B44" s="2422"/>
      <c r="D44" s="1265"/>
    </row>
    <row r="45" spans="1:4" x14ac:dyDescent="0.2">
      <c r="A45" s="2422"/>
      <c r="B45" s="2422"/>
      <c r="D45" s="1265"/>
    </row>
    <row r="47" spans="1:4" x14ac:dyDescent="0.2">
      <c r="B47" s="1266" t="s">
        <v>1227</v>
      </c>
      <c r="C47" s="1266"/>
      <c r="D47" s="1267">
        <f>SUM(D35:D45)</f>
        <v>0</v>
      </c>
    </row>
    <row r="49" spans="2:4" x14ac:dyDescent="0.2">
      <c r="B49" s="1266" t="s">
        <v>1226</v>
      </c>
      <c r="C49" s="1266"/>
      <c r="D49" s="1267">
        <f>D32-D47</f>
        <v>24570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4" t="str">
        <f>'Single Audit Cover'!A7</f>
        <v>Bloomington Area Career Center</v>
      </c>
      <c r="C1" s="2427"/>
      <c r="D1" s="2427"/>
      <c r="E1" s="2427"/>
      <c r="F1" s="2427"/>
      <c r="G1" s="2427"/>
      <c r="H1" s="2427"/>
      <c r="I1" s="2427"/>
      <c r="J1" s="2427"/>
      <c r="K1" s="2427"/>
      <c r="L1" s="2427"/>
      <c r="M1" s="2427"/>
    </row>
    <row r="2" spans="2:14" ht="15" x14ac:dyDescent="0.2">
      <c r="B2" s="2428">
        <f>'Single Audit Cover'!E7</f>
        <v>17064087041</v>
      </c>
      <c r="C2" s="2428"/>
      <c r="D2" s="2428"/>
      <c r="E2" s="2428"/>
      <c r="F2" s="2428"/>
      <c r="G2" s="2428"/>
      <c r="H2" s="2428"/>
      <c r="I2" s="2428"/>
      <c r="J2" s="2428"/>
      <c r="K2" s="2428"/>
      <c r="L2" s="2428"/>
      <c r="M2" s="2428"/>
      <c r="N2" s="1296"/>
    </row>
    <row r="3" spans="2:14" ht="15" x14ac:dyDescent="0.2">
      <c r="B3" s="2429" t="s">
        <v>1219</v>
      </c>
      <c r="C3" s="2429"/>
      <c r="D3" s="2429"/>
      <c r="E3" s="2429"/>
      <c r="F3" s="2429"/>
      <c r="G3" s="2429"/>
      <c r="H3" s="2429"/>
      <c r="I3" s="2429"/>
      <c r="J3" s="2429"/>
      <c r="K3" s="2429"/>
      <c r="L3" s="2429"/>
      <c r="M3" s="2429"/>
      <c r="N3" s="1296"/>
    </row>
    <row r="4" spans="2:14" ht="15" x14ac:dyDescent="0.2">
      <c r="B4" s="2430" t="str">
        <f>'Single Audit Cover'!A4</f>
        <v>Year Ending June 30, 2019</v>
      </c>
      <c r="C4" s="2430"/>
      <c r="D4" s="2430"/>
      <c r="E4" s="2430"/>
      <c r="F4" s="2430"/>
      <c r="G4" s="2430"/>
      <c r="H4" s="2430"/>
      <c r="I4" s="2430"/>
      <c r="J4" s="2430"/>
      <c r="K4" s="2430"/>
      <c r="L4" s="2430"/>
      <c r="M4" s="243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2" t="str">
        <f>'Single Audit Cover'!A7</f>
        <v>Bloomington Area Career Center</v>
      </c>
      <c r="B1" s="2432"/>
      <c r="C1" s="2432"/>
      <c r="D1" s="2432"/>
      <c r="E1" s="2432"/>
      <c r="F1" s="2432"/>
    </row>
    <row r="2" spans="1:7" ht="13.5" customHeight="1" x14ac:dyDescent="0.2">
      <c r="A2" s="2428">
        <f>'Single Audit Cover'!E7</f>
        <v>17064087041</v>
      </c>
      <c r="B2" s="2428"/>
      <c r="C2" s="2428"/>
      <c r="D2" s="2428"/>
      <c r="E2" s="2428"/>
      <c r="F2" s="2428"/>
      <c r="G2" s="1269"/>
    </row>
    <row r="3" spans="1:7" ht="15.75" customHeight="1" x14ac:dyDescent="0.2">
      <c r="A3" s="2433" t="s">
        <v>1271</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70" t="s">
        <v>1728</v>
      </c>
      <c r="C6" s="317"/>
      <c r="D6" s="317"/>
    </row>
    <row r="7" spans="1:7" ht="60.95" customHeight="1" x14ac:dyDescent="0.2">
      <c r="A7" s="2431" t="s">
        <v>1729</v>
      </c>
      <c r="B7" s="2431"/>
      <c r="C7" s="2431"/>
      <c r="D7" s="2431"/>
      <c r="E7" s="2431"/>
      <c r="F7" s="2431"/>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1" t="s">
        <v>1731</v>
      </c>
      <c r="B13" s="2431"/>
      <c r="C13" s="2431"/>
      <c r="D13" s="2431"/>
      <c r="E13" s="2431"/>
      <c r="F13" s="2431"/>
    </row>
    <row r="14" spans="1:7" ht="9.75" customHeight="1" x14ac:dyDescent="0.2">
      <c r="C14" s="1254"/>
      <c r="D14" s="1254"/>
    </row>
    <row r="15" spans="1:7" ht="13.5" customHeight="1" x14ac:dyDescent="0.2">
      <c r="C15" s="1843" t="s">
        <v>1270</v>
      </c>
      <c r="D15" s="2436" t="s">
        <v>1269</v>
      </c>
      <c r="E15" s="2436"/>
      <c r="F15" s="2436"/>
    </row>
    <row r="16" spans="1:7" ht="13.5" customHeight="1" x14ac:dyDescent="0.2">
      <c r="A16" s="1276"/>
      <c r="B16" s="1270" t="s">
        <v>1268</v>
      </c>
      <c r="C16" s="1843" t="s">
        <v>1267</v>
      </c>
      <c r="D16" s="2437" t="s">
        <v>1588</v>
      </c>
      <c r="E16" s="2437"/>
      <c r="F16" s="2437"/>
    </row>
    <row r="17" spans="1:6" ht="20.45" customHeight="1" x14ac:dyDescent="0.2">
      <c r="A17" s="1277"/>
      <c r="B17" s="1278"/>
      <c r="C17" s="1279"/>
      <c r="D17" s="2435"/>
      <c r="E17" s="2435"/>
      <c r="F17" s="2435"/>
    </row>
    <row r="18" spans="1:6" ht="20.65" customHeight="1" x14ac:dyDescent="0.2">
      <c r="A18" s="1277"/>
      <c r="B18" s="1278"/>
      <c r="C18" s="1279"/>
      <c r="D18" s="2435"/>
      <c r="E18" s="2435"/>
      <c r="F18" s="2435"/>
    </row>
    <row r="19" spans="1:6" ht="20.65" customHeight="1" x14ac:dyDescent="0.2">
      <c r="A19" s="1277"/>
      <c r="B19" s="1278"/>
      <c r="C19" s="1279"/>
      <c r="D19" s="2435"/>
      <c r="E19" s="2435"/>
      <c r="F19" s="2435"/>
    </row>
    <row r="20" spans="1:6" ht="20.65" customHeight="1" x14ac:dyDescent="0.2">
      <c r="A20" s="1277"/>
      <c r="B20" s="1278"/>
      <c r="C20" s="1279"/>
      <c r="D20" s="2435"/>
      <c r="E20" s="2435"/>
      <c r="F20" s="2435"/>
    </row>
    <row r="21" spans="1:6" ht="20.65" customHeight="1" x14ac:dyDescent="0.2">
      <c r="A21" s="1277"/>
      <c r="B21" s="1278"/>
      <c r="C21" s="1279"/>
      <c r="D21" s="2435"/>
      <c r="E21" s="2435"/>
      <c r="F21" s="2435"/>
    </row>
    <row r="22" spans="1:6" ht="20.65" customHeight="1" x14ac:dyDescent="0.2">
      <c r="A22" s="1277"/>
      <c r="B22" s="1278"/>
      <c r="C22" s="1279"/>
      <c r="D22" s="2435"/>
      <c r="E22" s="2435"/>
      <c r="F22" s="2435"/>
    </row>
    <row r="23" spans="1:6" ht="20.65" customHeight="1" x14ac:dyDescent="0.2">
      <c r="A23" s="1277"/>
      <c r="B23" s="1278"/>
      <c r="C23" s="1279"/>
      <c r="D23" s="2435"/>
      <c r="E23" s="2435"/>
      <c r="F23" s="2435"/>
    </row>
    <row r="24" spans="1:6" ht="20.65" customHeight="1" x14ac:dyDescent="0.2">
      <c r="A24" s="1277"/>
      <c r="B24" s="1278"/>
      <c r="C24" s="1279"/>
      <c r="D24" s="2435"/>
      <c r="E24" s="2435"/>
      <c r="F24" s="2435"/>
    </row>
    <row r="25" spans="1:6" ht="20.65" customHeight="1" x14ac:dyDescent="0.2">
      <c r="A25" s="1277"/>
      <c r="B25" s="1278"/>
      <c r="C25" s="1279"/>
      <c r="D25" s="2435"/>
      <c r="E25" s="2435"/>
      <c r="F25" s="2435"/>
    </row>
    <row r="26" spans="1:6" ht="20.65" customHeight="1" x14ac:dyDescent="0.2">
      <c r="A26" s="1277"/>
      <c r="B26" s="1278"/>
      <c r="C26" s="1279"/>
      <c r="D26" s="2435"/>
      <c r="E26" s="2435"/>
      <c r="F26" s="2435"/>
    </row>
    <row r="27" spans="1:6" ht="20.65" customHeight="1" x14ac:dyDescent="0.2">
      <c r="A27" s="1277"/>
      <c r="B27" s="1278"/>
      <c r="C27" s="1279"/>
      <c r="D27" s="2435"/>
      <c r="E27" s="2435"/>
      <c r="F27" s="2435"/>
    </row>
    <row r="28" spans="1:6" ht="20.65" customHeight="1" x14ac:dyDescent="0.2">
      <c r="A28" s="1277"/>
      <c r="B28" s="1278"/>
      <c r="C28" s="1279"/>
      <c r="D28" s="2435"/>
      <c r="E28" s="2435"/>
      <c r="F28" s="2435"/>
    </row>
    <row r="29" spans="1:6" ht="20.65" customHeight="1" x14ac:dyDescent="0.2">
      <c r="A29" s="1277"/>
      <c r="B29" s="1278"/>
      <c r="C29" s="1279"/>
      <c r="D29" s="2435"/>
      <c r="E29" s="2435"/>
      <c r="F29" s="2435"/>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9" t="s">
        <v>1732</v>
      </c>
      <c r="B32" s="2439"/>
      <c r="C32" s="2439"/>
      <c r="D32" s="2439"/>
      <c r="E32" s="2439"/>
      <c r="F32" s="2439"/>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0">
        <f>+C33+C34</f>
        <v>0</v>
      </c>
      <c r="F34" s="244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2" t="s">
        <v>1590</v>
      </c>
      <c r="C49" s="2442"/>
      <c r="D49" s="2442"/>
      <c r="E49" s="1393"/>
    </row>
    <row r="50" spans="1:5" s="1294" customFormat="1" ht="3.75" customHeight="1" x14ac:dyDescent="0.2">
      <c r="A50" s="1293"/>
      <c r="B50" s="1842"/>
      <c r="C50" s="1842"/>
      <c r="D50" s="1842"/>
      <c r="E50" s="1393"/>
    </row>
    <row r="51" spans="1:5" s="1294" customFormat="1" ht="20.25" customHeight="1" x14ac:dyDescent="0.2">
      <c r="A51" s="1295">
        <v>6</v>
      </c>
      <c r="B51" s="2438" t="s">
        <v>1551</v>
      </c>
      <c r="C51" s="2438"/>
      <c r="D51" s="2438"/>
    </row>
    <row r="52" spans="1:5" ht="14.25" customHeight="1" x14ac:dyDescent="0.2">
      <c r="A52" s="1295"/>
      <c r="B52" s="2438"/>
      <c r="C52" s="2438"/>
      <c r="D52" s="243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1168</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2" t="s">
        <v>1633</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313</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1323</v>
      </c>
      <c r="B70" s="2065"/>
      <c r="C70" s="2065"/>
      <c r="D70" s="2065"/>
      <c r="E70" s="2066"/>
      <c r="F70" s="2066"/>
      <c r="G70" s="2066"/>
      <c r="H70" s="2066"/>
      <c r="I70" s="206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1320</v>
      </c>
      <c r="B83" s="2067"/>
      <c r="C83" s="2067"/>
      <c r="D83" s="206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9"/>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t="s">
        <v>2072</v>
      </c>
      <c r="D114" s="205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1330</v>
      </c>
      <c r="D117" s="2060"/>
      <c r="E117" s="2061"/>
      <c r="F117" s="2061"/>
      <c r="G117" s="2061"/>
      <c r="H117" s="2061"/>
      <c r="I117" s="304"/>
    </row>
    <row r="118" spans="1:9" s="181" customFormat="1" ht="24" customHeight="1" x14ac:dyDescent="0.2">
      <c r="A118" s="316"/>
      <c r="B118" s="316"/>
      <c r="C118" s="316"/>
      <c r="D118" s="323" t="s">
        <v>2092</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Bloomington Area Career Center</v>
      </c>
      <c r="C1" s="2448"/>
      <c r="D1" s="2448"/>
      <c r="E1" s="2448"/>
      <c r="F1" s="2448"/>
      <c r="G1" s="2448"/>
      <c r="H1" s="2448"/>
      <c r="I1" s="2448"/>
      <c r="J1" s="1403"/>
    </row>
    <row r="2" spans="2:10" s="317" customFormat="1" ht="12.75" customHeight="1" x14ac:dyDescent="0.2">
      <c r="B2" s="2449">
        <f>'Single Audit Cover'!E7</f>
        <v>17064087041</v>
      </c>
      <c r="C2" s="2450"/>
      <c r="D2" s="2450"/>
      <c r="E2" s="2450"/>
      <c r="F2" s="2450"/>
      <c r="G2" s="2450"/>
      <c r="H2" s="2450"/>
      <c r="I2" s="2450"/>
      <c r="J2" s="1403"/>
    </row>
    <row r="3" spans="2:10" s="317" customFormat="1" ht="12.75" customHeight="1" x14ac:dyDescent="0.2">
      <c r="B3" s="2451" t="s">
        <v>1285</v>
      </c>
      <c r="C3" s="2452"/>
      <c r="D3" s="2452"/>
      <c r="E3" s="2452"/>
      <c r="F3" s="2452"/>
      <c r="G3" s="2452"/>
      <c r="H3" s="2452"/>
      <c r="I3" s="2452"/>
      <c r="J3" s="1404"/>
    </row>
    <row r="4" spans="2:10" s="317" customFormat="1" ht="12.75" customHeight="1" x14ac:dyDescent="0.2">
      <c r="B4" s="2451" t="str">
        <f>'Single Audit Cover'!A4</f>
        <v>Year Ending June 30, 2019</v>
      </c>
      <c r="C4" s="2452"/>
      <c r="D4" s="2452"/>
      <c r="E4" s="2452"/>
      <c r="F4" s="2452"/>
      <c r="G4" s="2452"/>
      <c r="H4" s="2452"/>
      <c r="I4" s="2452"/>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1" t="s">
        <v>1284</v>
      </c>
      <c r="C7" s="2452"/>
      <c r="D7" s="2452"/>
      <c r="E7" s="2452"/>
      <c r="F7" s="2452"/>
      <c r="G7" s="2452"/>
      <c r="H7" s="2452"/>
      <c r="I7" s="2452"/>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3"/>
      <c r="D11" s="2453"/>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4"/>
      <c r="E29" s="2454"/>
      <c r="F29" s="2454"/>
      <c r="G29" s="2454"/>
      <c r="H29" s="2454"/>
      <c r="I29" s="2454"/>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55" t="s">
        <v>1751</v>
      </c>
      <c r="D37" s="2456"/>
      <c r="E37" s="2456"/>
      <c r="F37" s="2457"/>
      <c r="G37" s="2455" t="s">
        <v>1592</v>
      </c>
      <c r="H37" s="2456"/>
      <c r="I37" s="2457"/>
    </row>
    <row r="38" spans="2:9" ht="16.5" customHeight="1" x14ac:dyDescent="0.2">
      <c r="B38" s="1425"/>
      <c r="C38" s="2443"/>
      <c r="D38" s="2444"/>
      <c r="E38" s="2444"/>
      <c r="F38" s="2445"/>
      <c r="G38" s="2458"/>
      <c r="H38" s="2459"/>
      <c r="I38" s="2460"/>
    </row>
    <row r="39" spans="2:9" ht="16.5" customHeight="1" x14ac:dyDescent="0.2">
      <c r="B39" s="1425"/>
      <c r="C39" s="2443"/>
      <c r="D39" s="2444"/>
      <c r="E39" s="2444"/>
      <c r="F39" s="2445"/>
      <c r="G39" s="2446"/>
      <c r="H39" s="2446"/>
      <c r="I39" s="2446"/>
    </row>
    <row r="40" spans="2:9" ht="16.5" customHeight="1" x14ac:dyDescent="0.2">
      <c r="B40" s="1425"/>
      <c r="C40" s="2443"/>
      <c r="D40" s="2444"/>
      <c r="E40" s="2444"/>
      <c r="F40" s="2445"/>
      <c r="G40" s="2446"/>
      <c r="H40" s="2446"/>
      <c r="I40" s="2446"/>
    </row>
    <row r="41" spans="2:9" ht="16.5" customHeight="1" x14ac:dyDescent="0.2">
      <c r="B41" s="1425"/>
      <c r="C41" s="2443"/>
      <c r="D41" s="2444"/>
      <c r="E41" s="2444"/>
      <c r="F41" s="2445"/>
      <c r="G41" s="2446"/>
      <c r="H41" s="2446"/>
      <c r="I41" s="2446"/>
    </row>
    <row r="42" spans="2:9" ht="16.5" customHeight="1" x14ac:dyDescent="0.2">
      <c r="B42" s="1425"/>
      <c r="C42" s="2443"/>
      <c r="D42" s="2444"/>
      <c r="E42" s="2444"/>
      <c r="F42" s="2445"/>
      <c r="G42" s="2446"/>
      <c r="H42" s="2446"/>
      <c r="I42" s="2446"/>
    </row>
    <row r="43" spans="2:9" ht="16.5" customHeight="1" x14ac:dyDescent="0.2">
      <c r="B43" s="1425"/>
      <c r="C43" s="2461" t="s">
        <v>1593</v>
      </c>
      <c r="D43" s="2462"/>
      <c r="E43" s="2462"/>
      <c r="F43" s="2463"/>
      <c r="G43" s="2464">
        <f>SUM(G38:I42)</f>
        <v>0</v>
      </c>
      <c r="H43" s="2464"/>
      <c r="I43" s="2464"/>
    </row>
    <row r="44" spans="2:9" ht="12.75" customHeight="1" x14ac:dyDescent="0.2"/>
    <row r="45" spans="2:9" ht="12.75" customHeight="1" x14ac:dyDescent="0.2">
      <c r="B45" s="1416" t="s">
        <v>1841</v>
      </c>
      <c r="D45" s="2465">
        <v>0</v>
      </c>
      <c r="E45" s="2466"/>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67"/>
      <c r="F49" s="2467"/>
      <c r="G49" s="2467"/>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Bloomington Area Career Center</v>
      </c>
      <c r="C1" s="2447"/>
      <c r="D1" s="2447"/>
      <c r="E1" s="2447"/>
      <c r="F1" s="2447"/>
      <c r="G1" s="2447"/>
      <c r="H1" s="2447"/>
      <c r="I1" s="2447"/>
      <c r="J1" s="2447"/>
      <c r="K1" s="2447"/>
      <c r="L1" s="1368"/>
      <c r="M1" s="1368"/>
    </row>
    <row r="2" spans="1:13" ht="12" customHeight="1" x14ac:dyDescent="0.2">
      <c r="B2" s="2449">
        <f>'Single Audit Cover'!E7</f>
        <v>17064087041</v>
      </c>
      <c r="C2" s="2449"/>
      <c r="D2" s="2449"/>
      <c r="E2" s="2449"/>
      <c r="F2" s="2449"/>
      <c r="G2" s="2449"/>
      <c r="H2" s="2449"/>
      <c r="I2" s="2449"/>
      <c r="J2" s="2449"/>
      <c r="K2" s="2449"/>
      <c r="L2" s="1369"/>
      <c r="M2" s="1370"/>
    </row>
    <row r="3" spans="1:13" ht="10.35" customHeight="1" x14ac:dyDescent="0.2">
      <c r="B3" s="2470" t="s">
        <v>1285</v>
      </c>
      <c r="C3" s="2470"/>
      <c r="D3" s="2470"/>
      <c r="E3" s="2470"/>
      <c r="F3" s="2470"/>
      <c r="G3" s="2470"/>
      <c r="H3" s="2470"/>
      <c r="I3" s="2470"/>
      <c r="J3" s="2470"/>
      <c r="K3" s="2470"/>
      <c r="L3" s="1371"/>
      <c r="M3" s="1371"/>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1" t="s">
        <v>1296</v>
      </c>
      <c r="C7" s="2471"/>
      <c r="D7" s="2472"/>
      <c r="E7" s="2472"/>
      <c r="F7" s="2472"/>
      <c r="G7" s="2472"/>
      <c r="H7" s="2472"/>
      <c r="I7" s="2472"/>
      <c r="J7" s="2472"/>
      <c r="K7" s="247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t="s">
        <v>2085</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69"/>
      <c r="C14" s="2469"/>
      <c r="D14" s="2469"/>
      <c r="E14" s="2469"/>
      <c r="F14" s="2469"/>
      <c r="G14" s="2469"/>
      <c r="H14" s="2469"/>
      <c r="I14" s="2469"/>
      <c r="J14" s="2469"/>
      <c r="K14" s="246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69"/>
      <c r="C17" s="2469"/>
      <c r="D17" s="2469"/>
      <c r="E17" s="2469"/>
      <c r="F17" s="2469"/>
      <c r="G17" s="2469"/>
      <c r="H17" s="2469"/>
      <c r="I17" s="2469"/>
      <c r="J17" s="2469"/>
      <c r="K17" s="246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3"/>
      <c r="C20" s="2473"/>
      <c r="D20" s="2469"/>
      <c r="E20" s="2469"/>
      <c r="F20" s="2469"/>
      <c r="G20" s="2469"/>
      <c r="H20" s="2469"/>
      <c r="I20" s="2469"/>
      <c r="J20" s="2469"/>
      <c r="K20" s="246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69"/>
      <c r="C23" s="2469"/>
      <c r="D23" s="2469"/>
      <c r="E23" s="2469"/>
      <c r="F23" s="2469"/>
      <c r="G23" s="2469"/>
      <c r="H23" s="2469"/>
      <c r="I23" s="2469"/>
      <c r="J23" s="2469"/>
      <c r="K23" s="246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69"/>
      <c r="C26" s="2469"/>
      <c r="D26" s="2469"/>
      <c r="E26" s="2469"/>
      <c r="F26" s="2469"/>
      <c r="G26" s="2469"/>
      <c r="H26" s="2469"/>
      <c r="I26" s="2469"/>
      <c r="J26" s="2469"/>
      <c r="K26" s="246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68"/>
      <c r="C29" s="2468"/>
      <c r="D29" s="2469"/>
      <c r="E29" s="2469"/>
      <c r="F29" s="2469"/>
      <c r="G29" s="2469"/>
      <c r="H29" s="2469"/>
      <c r="I29" s="2469"/>
      <c r="J29" s="2469"/>
      <c r="K29" s="246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68"/>
      <c r="C32" s="2468"/>
      <c r="D32" s="2469"/>
      <c r="E32" s="2469"/>
      <c r="F32" s="2469"/>
      <c r="G32" s="2469"/>
      <c r="H32" s="2469"/>
      <c r="I32" s="2469"/>
      <c r="J32" s="2469"/>
      <c r="K32" s="246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4" t="str">
        <f>'Single Audit Cover'!A7</f>
        <v>Bloomington Area Career Center</v>
      </c>
      <c r="C1" s="2474"/>
      <c r="D1" s="2474"/>
      <c r="E1" s="2474"/>
      <c r="F1" s="2474"/>
      <c r="G1" s="2474"/>
      <c r="H1" s="2474"/>
      <c r="I1" s="2474"/>
      <c r="J1" s="2474"/>
      <c r="K1" s="2474"/>
      <c r="L1" s="1446"/>
    </row>
    <row r="2" spans="1:12" ht="12.75" customHeight="1" x14ac:dyDescent="0.2">
      <c r="B2" s="2475">
        <f>'Single Audit Cover'!E7</f>
        <v>17064087041</v>
      </c>
      <c r="C2" s="2475"/>
      <c r="D2" s="2475"/>
      <c r="E2" s="2475"/>
      <c r="F2" s="2475"/>
      <c r="G2" s="2475"/>
      <c r="H2" s="2475"/>
      <c r="I2" s="2475"/>
      <c r="J2" s="2475"/>
      <c r="K2" s="2475"/>
      <c r="L2" s="1447"/>
    </row>
    <row r="3" spans="1:12" ht="12.75" customHeight="1" x14ac:dyDescent="0.2">
      <c r="B3" s="2470" t="s">
        <v>1285</v>
      </c>
      <c r="C3" s="2470"/>
      <c r="D3" s="2470"/>
      <c r="E3" s="2470"/>
      <c r="F3" s="2470"/>
      <c r="G3" s="2470"/>
      <c r="H3" s="2470"/>
      <c r="I3" s="2470"/>
      <c r="J3" s="2470"/>
      <c r="K3" s="2470"/>
      <c r="L3" s="1371"/>
    </row>
    <row r="4" spans="1:12" ht="12.75" customHeight="1" x14ac:dyDescent="0.2">
      <c r="B4" s="2470" t="str">
        <f>'Single Audit Cover'!A4</f>
        <v>Year Ending June 30, 2019</v>
      </c>
      <c r="C4" s="2470"/>
      <c r="D4" s="2470"/>
      <c r="E4" s="2470"/>
      <c r="F4" s="2470"/>
      <c r="G4" s="2470"/>
      <c r="H4" s="2470"/>
      <c r="I4" s="2470"/>
      <c r="J4" s="2470"/>
      <c r="K4" s="2470"/>
      <c r="L4" s="1371"/>
    </row>
    <row r="5" spans="1:12" ht="5.25" customHeight="1" x14ac:dyDescent="0.2">
      <c r="B5" s="1254" t="s">
        <v>1169</v>
      </c>
      <c r="C5" s="1254"/>
      <c r="L5" s="322"/>
    </row>
    <row r="6" spans="1:12" ht="30.75" customHeight="1" x14ac:dyDescent="0.2">
      <c r="A6" s="322"/>
      <c r="B6" s="2476" t="s">
        <v>1308</v>
      </c>
      <c r="C6" s="2476"/>
      <c r="D6" s="2476"/>
      <c r="E6" s="2476"/>
      <c r="F6" s="2476"/>
      <c r="G6" s="2476"/>
      <c r="H6" s="2476"/>
      <c r="I6" s="2476"/>
      <c r="J6" s="2476"/>
      <c r="K6" s="2476"/>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4"/>
      <c r="G12" s="2454"/>
      <c r="H12" s="2454"/>
      <c r="I12" s="2454"/>
      <c r="J12" s="2454"/>
      <c r="K12" s="2454"/>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7"/>
      <c r="E14" s="2477"/>
      <c r="F14" s="2477"/>
      <c r="H14" s="1456" t="s">
        <v>1303</v>
      </c>
      <c r="I14" s="2478"/>
      <c r="J14" s="2478"/>
      <c r="K14" s="247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8"/>
      <c r="E16" s="2478"/>
      <c r="F16" s="2478"/>
      <c r="G16" s="2478"/>
      <c r="H16" s="2478"/>
      <c r="I16" s="2478"/>
      <c r="J16" s="2478"/>
      <c r="K16" s="2478"/>
      <c r="L16" s="322"/>
    </row>
    <row r="17" spans="2:12" ht="13.5" customHeight="1" x14ac:dyDescent="0.2">
      <c r="B17" s="1381" t="s">
        <v>1301</v>
      </c>
      <c r="C17" s="1381"/>
      <c r="D17" s="2479"/>
      <c r="E17" s="2479"/>
      <c r="F17" s="2479"/>
      <c r="G17" s="2479"/>
      <c r="H17" s="2479"/>
      <c r="I17" s="2479"/>
      <c r="J17" s="2479"/>
      <c r="K17" s="247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69"/>
      <c r="C20" s="2469"/>
      <c r="D20" s="2469"/>
      <c r="E20" s="2469"/>
      <c r="F20" s="2469"/>
      <c r="G20" s="2469"/>
      <c r="H20" s="2469"/>
      <c r="I20" s="2469"/>
      <c r="J20" s="2469"/>
      <c r="K20" s="246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47" t="str">
        <f>'Single Audit Cover'!A7</f>
        <v>Bloomington Area Career Center</v>
      </c>
      <c r="C1" s="2447"/>
      <c r="D1" s="2447"/>
      <c r="E1" s="1466"/>
    </row>
    <row r="2" spans="2:5" s="1276" customFormat="1" ht="12.75" customHeight="1" x14ac:dyDescent="0.2">
      <c r="B2" s="2449">
        <f>'Single Audit Cover'!E7</f>
        <v>17064087041</v>
      </c>
      <c r="C2" s="2449"/>
      <c r="D2" s="2449"/>
      <c r="E2" s="1467"/>
    </row>
    <row r="3" spans="2:5" ht="12.75" customHeight="1" x14ac:dyDescent="0.2">
      <c r="B3" s="2470" t="s">
        <v>1766</v>
      </c>
      <c r="C3" s="2470"/>
      <c r="D3" s="2470"/>
      <c r="E3" s="1268"/>
    </row>
    <row r="4" spans="2:5" s="1276" customFormat="1" ht="12.75" customHeight="1" x14ac:dyDescent="0.2">
      <c r="B4" s="2480" t="str">
        <f>'Single Audit Cover'!A4</f>
        <v>Year Ending June 30, 2019</v>
      </c>
      <c r="C4" s="2480"/>
      <c r="D4" s="248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2086</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386</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9">
        <f>ROUND(D10+F10+H10,5)</f>
        <v>0</v>
      </c>
      <c r="K10" s="222"/>
      <c r="L10" s="355"/>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1688062</v>
      </c>
      <c r="E16" s="356"/>
      <c r="F16" s="1730">
        <f>SUM('Acct Summary 7-8'!C17,'Acct Summary 7-8'!D17,'Acct Summary 7-8'!F17)</f>
        <v>1378076</v>
      </c>
      <c r="G16" s="356"/>
      <c r="H16" s="1730">
        <f>SUM(D16-F16)</f>
        <v>309986</v>
      </c>
      <c r="I16" s="222"/>
      <c r="J16" s="1730">
        <f>SUM('Acct Summary 7-8'!C81,'Acct Summary 7-8'!D81,'Acct Summary 7-8'!F81,'Acct Summary 7-8'!I81)</f>
        <v>851931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586</v>
      </c>
      <c r="D31" s="237" t="s">
        <v>1072</v>
      </c>
      <c r="E31" s="222"/>
      <c r="F31" s="222"/>
      <c r="G31" s="363"/>
      <c r="H31" s="1732">
        <f>IF(B31="X",(J7*0.069),IF(B32="X",(J7*0.138),"Enter x in a.or b."))</f>
        <v>0</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9"/>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Bloomington Area Career Center</v>
      </c>
      <c r="E7" s="391"/>
      <c r="G7" s="252"/>
      <c r="H7" s="387"/>
      <c r="I7" s="387"/>
      <c r="J7" s="387"/>
      <c r="K7" s="387"/>
      <c r="L7" s="329"/>
      <c r="M7" s="329"/>
      <c r="N7" s="329"/>
      <c r="O7" s="329"/>
      <c r="P7" s="329"/>
    </row>
    <row r="8" spans="1:18" ht="12.75" x14ac:dyDescent="0.2">
      <c r="A8" s="329"/>
      <c r="B8" s="329"/>
      <c r="C8" s="389" t="s">
        <v>1125</v>
      </c>
      <c r="D8" s="392">
        <f>COVER!A13</f>
        <v>17064087041</v>
      </c>
      <c r="E8" s="393"/>
      <c r="G8" s="329"/>
      <c r="H8" s="329"/>
      <c r="I8" s="329"/>
      <c r="J8" s="329"/>
      <c r="K8" s="329"/>
      <c r="L8" s="329"/>
      <c r="M8" s="329"/>
      <c r="N8" s="329"/>
      <c r="O8" s="329"/>
      <c r="P8" s="329"/>
    </row>
    <row r="9" spans="1:18" ht="12.75" x14ac:dyDescent="0.2">
      <c r="A9" s="329"/>
      <c r="B9" s="329"/>
      <c r="C9" s="389" t="s">
        <v>713</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851931</v>
      </c>
      <c r="I12" s="404"/>
      <c r="J12" s="404"/>
      <c r="K12" s="405">
        <f>TRUNC((H12/H13*100000),5)/100000</f>
        <v>0.50467992279999996</v>
      </c>
      <c r="L12" s="406"/>
      <c r="M12" s="360" t="s">
        <v>1144</v>
      </c>
      <c r="N12" s="360"/>
      <c r="O12" s="407">
        <v>0.35</v>
      </c>
      <c r="P12" s="218"/>
      <c r="Q12" s="218"/>
    </row>
    <row r="13" spans="1:18" s="408" customFormat="1" ht="12.75" x14ac:dyDescent="0.2">
      <c r="A13" s="218"/>
      <c r="B13" s="401"/>
      <c r="C13" s="2095" t="s">
        <v>1324</v>
      </c>
      <c r="D13" s="2096"/>
      <c r="E13" s="218"/>
      <c r="F13" s="409" t="s">
        <v>793</v>
      </c>
      <c r="G13" s="402"/>
      <c r="H13" s="403">
        <f>SUM('Acct Summary 7-8'!C8+'Acct Summary 7-8'!D8+'Acct Summary 7-8'!F8+'Acct Summary 7-8'!I8)+H14</f>
        <v>1688062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1378076</v>
      </c>
      <c r="I17" s="404"/>
      <c r="J17" s="416"/>
      <c r="K17" s="405">
        <f>TRUNC((H17/H18*100000),5)/100000</f>
        <v>0.81636574949999996</v>
      </c>
      <c r="L17" s="406"/>
      <c r="M17" s="417" t="s">
        <v>1171</v>
      </c>
      <c r="O17" s="418" t="str">
        <f>IF(AND(O16="2", J20 &gt; 2),"1",IF(AND(O16 = "1", J20 &gt; 2),"2",IF(AND(O16="1", J20 &gt;1),"1","0")))</f>
        <v>0</v>
      </c>
      <c r="P17" s="218"/>
    </row>
    <row r="18" spans="1:18" s="408" customFormat="1" ht="11.25" x14ac:dyDescent="0.2">
      <c r="A18" s="218"/>
      <c r="B18" s="401"/>
      <c r="C18" s="2095" t="s">
        <v>1317</v>
      </c>
      <c r="D18" s="2096"/>
      <c r="E18" s="218"/>
      <c r="F18" s="419" t="s">
        <v>794</v>
      </c>
      <c r="G18" s="402"/>
      <c r="H18" s="403">
        <f>SUM('Acct Summary 7-8'!C8+'Acct Summary 7-8'!D8+'Acct Summary 7-8'!F8+'Acct Summary 7-8'!I8)+H19</f>
        <v>1688062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2" t="s">
        <v>1412</v>
      </c>
      <c r="D24" s="2092"/>
      <c r="E24" s="218"/>
      <c r="F24" s="218" t="s">
        <v>445</v>
      </c>
      <c r="G24" s="402"/>
      <c r="H24" s="403">
        <f>SUM('Assets-Liab 5-6'!C4+'Assets-Liab 5-6'!D4+'Assets-Liab 5-6'!F4+'Assets-Liab 5-6'!I4+'Assets-Liab 5-6'!C5+'Assets-Liab 5-6'!D5+'Assets-Liab 5-6'!F5+'Assets-Liab 5-6'!I5)</f>
        <v>811931</v>
      </c>
      <c r="I24" s="422"/>
      <c r="J24" s="422"/>
      <c r="K24" s="423">
        <f>TRUNC(((H24/H25*100000)/100000),2)</f>
        <v>212.1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3827.9888900000001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#DIV/0!</v>
      </c>
      <c r="P31" s="216"/>
    </row>
    <row r="32" spans="1:18" s="408" customFormat="1" ht="11.25" x14ac:dyDescent="0.2">
      <c r="A32" s="218"/>
      <c r="B32" s="401"/>
      <c r="C32" s="218" t="s">
        <v>847</v>
      </c>
      <c r="D32" s="218"/>
      <c r="E32" s="218"/>
      <c r="F32" s="218"/>
      <c r="G32" s="402"/>
      <c r="H32" s="403">
        <f>'FP Info 3'!H37</f>
        <v>0</v>
      </c>
      <c r="I32" s="420"/>
      <c r="J32" s="420"/>
      <c r="K32" s="423" t="e">
        <f>TRUNC(100-((((H32/H33*100))*100)/100),2)</f>
        <v>#DIV/0!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0</v>
      </c>
      <c r="I33" s="420"/>
      <c r="J33" s="420"/>
      <c r="K33" s="403"/>
      <c r="L33" s="218"/>
      <c r="M33" s="435" t="s">
        <v>1145</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B5" sqref="B5"/>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2" t="s">
        <v>973</v>
      </c>
      <c r="B3" s="2103"/>
      <c r="C3" s="1556"/>
      <c r="D3" s="1557"/>
      <c r="E3" s="1557"/>
      <c r="F3" s="1557"/>
      <c r="G3" s="1557"/>
      <c r="H3" s="1557"/>
      <c r="I3" s="1557"/>
      <c r="J3" s="1557"/>
      <c r="K3" s="1557"/>
      <c r="L3" s="1557"/>
      <c r="M3" s="1558"/>
      <c r="N3" s="1559"/>
    </row>
    <row r="4" spans="1:14" ht="13.5" customHeight="1" x14ac:dyDescent="0.2">
      <c r="A4" s="463" t="s">
        <v>1651</v>
      </c>
      <c r="B4" s="464"/>
      <c r="C4" s="465">
        <v>34422</v>
      </c>
      <c r="D4" s="465">
        <v>0</v>
      </c>
      <c r="E4" s="465">
        <v>0</v>
      </c>
      <c r="F4" s="465">
        <v>0</v>
      </c>
      <c r="G4" s="465">
        <v>0</v>
      </c>
      <c r="H4" s="465">
        <v>0</v>
      </c>
      <c r="I4" s="465">
        <v>0</v>
      </c>
      <c r="J4" s="465">
        <v>0</v>
      </c>
      <c r="K4" s="465">
        <v>0</v>
      </c>
      <c r="L4" s="465">
        <v>0</v>
      </c>
      <c r="M4" s="468"/>
      <c r="N4" s="469"/>
    </row>
    <row r="5" spans="1:14" x14ac:dyDescent="0.2">
      <c r="A5" s="463" t="s">
        <v>992</v>
      </c>
      <c r="B5" s="470">
        <v>120</v>
      </c>
      <c r="C5" s="465">
        <v>777509</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40000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851931</v>
      </c>
      <c r="D13" s="1734">
        <f t="shared" ref="D13:L13" si="0">SUM(D4:D12)</f>
        <v>0</v>
      </c>
      <c r="E13" s="1734">
        <f t="shared" si="0"/>
        <v>0</v>
      </c>
      <c r="F13" s="1734">
        <f t="shared" si="0"/>
        <v>0</v>
      </c>
      <c r="G13" s="1734">
        <f t="shared" si="0"/>
        <v>0</v>
      </c>
      <c r="H13" s="1734">
        <f t="shared" si="0"/>
        <v>0</v>
      </c>
      <c r="I13" s="1734">
        <f t="shared" si="0"/>
        <v>0</v>
      </c>
      <c r="J13" s="1734">
        <f t="shared" si="0"/>
        <v>0</v>
      </c>
      <c r="K13" s="1734">
        <f t="shared" si="0"/>
        <v>0</v>
      </c>
      <c r="L13" s="1734">
        <f t="shared" si="0"/>
        <v>0</v>
      </c>
      <c r="M13" s="468"/>
      <c r="N13" s="469"/>
    </row>
    <row r="14" spans="1:14" ht="18" customHeight="1" thickTop="1" x14ac:dyDescent="0.2">
      <c r="A14" s="2104" t="s">
        <v>147</v>
      </c>
      <c r="B14" s="2105"/>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7">
        <v>0</v>
      </c>
      <c r="N17" s="482"/>
    </row>
    <row r="18" spans="1:14" s="483" customFormat="1" ht="12.75" customHeight="1" x14ac:dyDescent="0.2">
      <c r="A18" s="480" t="s">
        <v>1404</v>
      </c>
      <c r="B18" s="481">
        <v>240</v>
      </c>
      <c r="C18" s="475"/>
      <c r="D18" s="475"/>
      <c r="E18" s="475"/>
      <c r="F18" s="475"/>
      <c r="G18" s="475"/>
      <c r="H18" s="475"/>
      <c r="I18" s="475"/>
      <c r="J18" s="475"/>
      <c r="K18" s="475"/>
      <c r="L18" s="475"/>
      <c r="M18" s="467">
        <v>0</v>
      </c>
      <c r="N18" s="482"/>
    </row>
    <row r="19" spans="1:14" s="483" customFormat="1" ht="12.75" customHeight="1" x14ac:dyDescent="0.2">
      <c r="A19" s="480" t="s">
        <v>1405</v>
      </c>
      <c r="B19" s="481">
        <v>250</v>
      </c>
      <c r="C19" s="475"/>
      <c r="D19" s="475"/>
      <c r="E19" s="475"/>
      <c r="F19" s="475"/>
      <c r="G19" s="475"/>
      <c r="H19" s="475"/>
      <c r="I19" s="475"/>
      <c r="J19" s="475"/>
      <c r="K19" s="475"/>
      <c r="L19" s="475"/>
      <c r="M19" s="467">
        <v>79648</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79648</v>
      </c>
      <c r="N23" s="1685">
        <f>SUM(N21:N22)</f>
        <v>0</v>
      </c>
    </row>
    <row r="24" spans="1:14" ht="18" customHeight="1" thickTop="1" x14ac:dyDescent="0.2">
      <c r="A24" s="2106" t="s">
        <v>598</v>
      </c>
      <c r="B24" s="2107"/>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0</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0</v>
      </c>
      <c r="M34" s="468"/>
      <c r="N34" s="478"/>
    </row>
    <row r="35" spans="1:14" ht="18" customHeight="1" thickTop="1" x14ac:dyDescent="0.2">
      <c r="A35" s="2108" t="s">
        <v>529</v>
      </c>
      <c r="B35" s="2109"/>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851931</v>
      </c>
      <c r="D38" s="465">
        <v>0</v>
      </c>
      <c r="E38" s="465">
        <v>0</v>
      </c>
      <c r="F38" s="465">
        <v>0</v>
      </c>
      <c r="G38" s="465">
        <v>0</v>
      </c>
      <c r="H38" s="465">
        <v>0</v>
      </c>
      <c r="I38" s="465">
        <v>0</v>
      </c>
      <c r="J38" s="465">
        <v>0</v>
      </c>
      <c r="K38" s="465">
        <v>0</v>
      </c>
      <c r="L38" s="465">
        <v>0</v>
      </c>
      <c r="M38" s="494"/>
      <c r="N38" s="494"/>
    </row>
    <row r="39" spans="1:14" s="329" customFormat="1" ht="13.5" customHeight="1" x14ac:dyDescent="0.2">
      <c r="A39" s="493" t="s">
        <v>342</v>
      </c>
      <c r="B39" s="481">
        <v>730</v>
      </c>
      <c r="C39" s="465">
        <v>0</v>
      </c>
      <c r="D39" s="465">
        <v>0</v>
      </c>
      <c r="E39" s="465">
        <v>0</v>
      </c>
      <c r="F39" s="465">
        <v>0</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79648</v>
      </c>
      <c r="N40" s="494"/>
    </row>
    <row r="41" spans="1:14" ht="13.5" customHeight="1" thickBot="1" x14ac:dyDescent="0.25">
      <c r="A41" s="1733" t="s">
        <v>655</v>
      </c>
      <c r="B41" s="1703"/>
      <c r="C41" s="1685">
        <f>(SUM(C34,C37,C38,C39))</f>
        <v>851931</v>
      </c>
      <c r="D41" s="1685">
        <f t="shared" ref="D41:L41" si="2">SUM(D34,D37,D38:D39)</f>
        <v>0</v>
      </c>
      <c r="E41" s="1685">
        <f t="shared" si="2"/>
        <v>0</v>
      </c>
      <c r="F41" s="1685">
        <f t="shared" si="2"/>
        <v>0</v>
      </c>
      <c r="G41" s="1685">
        <f t="shared" si="2"/>
        <v>0</v>
      </c>
      <c r="H41" s="1685">
        <f t="shared" si="2"/>
        <v>0</v>
      </c>
      <c r="I41" s="1685">
        <f t="shared" si="2"/>
        <v>0</v>
      </c>
      <c r="J41" s="1685">
        <f t="shared" si="2"/>
        <v>0</v>
      </c>
      <c r="K41" s="1685">
        <f t="shared" si="2"/>
        <v>0</v>
      </c>
      <c r="L41" s="1685">
        <f t="shared" si="2"/>
        <v>0</v>
      </c>
      <c r="M41" s="1685">
        <f>SUM(M40)</f>
        <v>79648</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B5" sqref="B5"/>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1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0" t="s">
        <v>1175</v>
      </c>
      <c r="B3" s="2131"/>
      <c r="C3" s="1570"/>
      <c r="D3" s="1571"/>
      <c r="E3" s="1571"/>
      <c r="F3" s="1571"/>
      <c r="G3" s="1571"/>
      <c r="H3" s="1571"/>
      <c r="I3" s="1571"/>
      <c r="J3" s="1571"/>
      <c r="K3" s="1572"/>
      <c r="L3" s="503"/>
    </row>
    <row r="4" spans="1:13" ht="15.75" customHeight="1" x14ac:dyDescent="0.2">
      <c r="A4" s="1925" t="s">
        <v>1499</v>
      </c>
      <c r="B4" s="1926">
        <v>1000</v>
      </c>
      <c r="C4" s="1739">
        <f>'Revenues 9-14'!C109</f>
        <v>817793</v>
      </c>
      <c r="D4" s="1739">
        <f>'Revenues 9-14'!D109</f>
        <v>0</v>
      </c>
      <c r="E4" s="1739">
        <f>'Revenues 9-14'!E109</f>
        <v>0</v>
      </c>
      <c r="F4" s="1739">
        <f>'Revenues 9-14'!F109</f>
        <v>0</v>
      </c>
      <c r="G4" s="1739">
        <f>'Revenues 9-14'!G109</f>
        <v>0</v>
      </c>
      <c r="H4" s="1739">
        <f>'Revenues 9-14'!H109</f>
        <v>0</v>
      </c>
      <c r="I4" s="1739">
        <f>'Revenues 9-14'!I109</f>
        <v>0</v>
      </c>
      <c r="J4" s="1739">
        <f>'Revenues 9-14'!J109</f>
        <v>0</v>
      </c>
      <c r="K4" s="1739">
        <f>'Revenues 9-14'!K109</f>
        <v>0</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845699</v>
      </c>
      <c r="D6" s="1740">
        <f>'Revenues 9-14'!D170</f>
        <v>0</v>
      </c>
      <c r="E6" s="1740">
        <f>'Revenues 9-14'!E170</f>
        <v>0</v>
      </c>
      <c r="F6" s="1740">
        <f>'Revenues 9-14'!F170</f>
        <v>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24570</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1688062</v>
      </c>
      <c r="D8" s="1685">
        <f t="shared" ref="D8:K8" si="0">SUM(D4:D7)</f>
        <v>0</v>
      </c>
      <c r="E8" s="1685">
        <f t="shared" si="0"/>
        <v>0</v>
      </c>
      <c r="F8" s="1685">
        <f t="shared" si="0"/>
        <v>0</v>
      </c>
      <c r="G8" s="1685">
        <f t="shared" si="0"/>
        <v>0</v>
      </c>
      <c r="H8" s="1685">
        <f t="shared" si="0"/>
        <v>0</v>
      </c>
      <c r="I8" s="1685">
        <f t="shared" si="0"/>
        <v>0</v>
      </c>
      <c r="J8" s="1685">
        <f t="shared" si="0"/>
        <v>0</v>
      </c>
      <c r="K8" s="1685">
        <f t="shared" si="0"/>
        <v>0</v>
      </c>
      <c r="L8" s="347"/>
    </row>
    <row r="9" spans="1:13" ht="15.75" thickTop="1" x14ac:dyDescent="0.2">
      <c r="A9" s="511" t="s">
        <v>1653</v>
      </c>
      <c r="B9" s="512">
        <v>3998</v>
      </c>
      <c r="C9" s="465">
        <v>0</v>
      </c>
      <c r="D9" s="513"/>
      <c r="E9" s="479"/>
      <c r="F9" s="479"/>
      <c r="G9" s="514"/>
      <c r="H9" s="479"/>
      <c r="I9" s="506" t="s">
        <v>1169</v>
      </c>
      <c r="J9" s="476"/>
      <c r="K9" s="479"/>
      <c r="L9" s="347"/>
    </row>
    <row r="10" spans="1:13" s="516" customFormat="1" ht="13.5" thickBot="1" x14ac:dyDescent="0.25">
      <c r="A10" s="1733" t="s">
        <v>1173</v>
      </c>
      <c r="B10" s="1706"/>
      <c r="C10" s="1685">
        <f>SUM(C8:C9)</f>
        <v>1688062</v>
      </c>
      <c r="D10" s="1685">
        <f t="shared" ref="D10:K10" si="1">SUM(D8:D9)</f>
        <v>0</v>
      </c>
      <c r="E10" s="1685">
        <f t="shared" si="1"/>
        <v>0</v>
      </c>
      <c r="F10" s="1685">
        <f t="shared" si="1"/>
        <v>0</v>
      </c>
      <c r="G10" s="1685">
        <f t="shared" si="1"/>
        <v>0</v>
      </c>
      <c r="H10" s="1685">
        <f t="shared" si="1"/>
        <v>0</v>
      </c>
      <c r="I10" s="1685">
        <f t="shared" si="1"/>
        <v>0</v>
      </c>
      <c r="J10" s="1685">
        <f t="shared" si="1"/>
        <v>0</v>
      </c>
      <c r="K10" s="1685">
        <f t="shared" si="1"/>
        <v>0</v>
      </c>
      <c r="L10" s="515"/>
    </row>
    <row r="11" spans="1:13" s="516" customFormat="1" ht="16.7" customHeight="1" thickTop="1" x14ac:dyDescent="0.2">
      <c r="A11" s="2104" t="s">
        <v>1176</v>
      </c>
      <c r="B11" s="2105"/>
      <c r="C11" s="1567"/>
      <c r="D11" s="1568"/>
      <c r="E11" s="1568"/>
      <c r="F11" s="1568"/>
      <c r="G11" s="1568"/>
      <c r="H11" s="1568"/>
      <c r="I11" s="1568"/>
      <c r="J11" s="1568"/>
      <c r="K11" s="1569"/>
      <c r="L11" s="515"/>
    </row>
    <row r="12" spans="1:13" ht="15.75" customHeight="1" x14ac:dyDescent="0.2">
      <c r="A12" s="1573" t="s">
        <v>456</v>
      </c>
      <c r="B12" s="1575">
        <v>1000</v>
      </c>
      <c r="C12" s="1739">
        <f>'Expenditures 15-22'!K33</f>
        <v>928113</v>
      </c>
      <c r="D12" s="517" t="s">
        <v>1169</v>
      </c>
      <c r="E12" s="468" t="s">
        <v>1169</v>
      </c>
      <c r="F12" s="468" t="s">
        <v>1169</v>
      </c>
      <c r="G12" s="1739">
        <f>'Expenditures 15-22'!K229</f>
        <v>0</v>
      </c>
      <c r="H12" s="518"/>
      <c r="I12" s="468" t="s">
        <v>1169</v>
      </c>
      <c r="J12" s="468" t="s">
        <v>1169</v>
      </c>
      <c r="K12" s="518" t="s">
        <v>1169</v>
      </c>
      <c r="L12" s="347"/>
    </row>
    <row r="13" spans="1:13" ht="15.75" customHeight="1" x14ac:dyDescent="0.2">
      <c r="A13" s="1573" t="s">
        <v>457</v>
      </c>
      <c r="B13" s="1575">
        <v>2000</v>
      </c>
      <c r="C13" s="1740">
        <f>'Expenditures 15-22'!K74</f>
        <v>248246</v>
      </c>
      <c r="D13" s="1740">
        <f>'Expenditures 15-22'!K129</f>
        <v>0</v>
      </c>
      <c r="E13" s="469" t="s">
        <v>1169</v>
      </c>
      <c r="F13" s="1740">
        <f>'Expenditures 15-22'!K184</f>
        <v>0</v>
      </c>
      <c r="G13" s="1740">
        <f>'Expenditures 15-22'!K279</f>
        <v>0</v>
      </c>
      <c r="H13" s="1740">
        <f>'Expenditures 15-22'!K303</f>
        <v>0</v>
      </c>
      <c r="I13" s="468" t="s">
        <v>1169</v>
      </c>
      <c r="J13" s="1740">
        <f>'Expenditures 15-22'!K330</f>
        <v>0</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201717</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1378076</v>
      </c>
      <c r="D17" s="1685">
        <f t="shared" si="2"/>
        <v>0</v>
      </c>
      <c r="E17" s="1685">
        <f t="shared" si="2"/>
        <v>0</v>
      </c>
      <c r="F17" s="1685">
        <f t="shared" si="2"/>
        <v>0</v>
      </c>
      <c r="G17" s="1685">
        <f t="shared" si="2"/>
        <v>0</v>
      </c>
      <c r="H17" s="1685">
        <f t="shared" si="2"/>
        <v>0</v>
      </c>
      <c r="I17" s="468"/>
      <c r="J17" s="1685">
        <f>SUM(J12:J16)</f>
        <v>0</v>
      </c>
      <c r="K17" s="1685">
        <f>SUM(K12:K16)</f>
        <v>0</v>
      </c>
      <c r="L17" s="347"/>
    </row>
    <row r="18" spans="1:12" ht="15" customHeight="1" thickTop="1" x14ac:dyDescent="0.2">
      <c r="A18" s="1741" t="s">
        <v>1654</v>
      </c>
      <c r="B18" s="1742">
        <v>4180</v>
      </c>
      <c r="C18" s="1739">
        <f t="shared" ref="C18:H18" si="3">C9</f>
        <v>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1378076</v>
      </c>
      <c r="D19" s="1685">
        <f t="shared" si="4"/>
        <v>0</v>
      </c>
      <c r="E19" s="1685">
        <f t="shared" si="4"/>
        <v>0</v>
      </c>
      <c r="F19" s="1685">
        <f t="shared" si="4"/>
        <v>0</v>
      </c>
      <c r="G19" s="1685">
        <f t="shared" si="4"/>
        <v>0</v>
      </c>
      <c r="H19" s="1685">
        <f t="shared" si="4"/>
        <v>0</v>
      </c>
      <c r="I19" s="468"/>
      <c r="J19" s="1685">
        <f>SUM(J17:J18)</f>
        <v>0</v>
      </c>
      <c r="K19" s="1685">
        <f>SUM(K17:K18)</f>
        <v>0</v>
      </c>
      <c r="L19" s="347"/>
    </row>
    <row r="20" spans="1:12" ht="16.5" thickTop="1" thickBot="1" x14ac:dyDescent="0.25">
      <c r="A20" s="2120" t="s">
        <v>1655</v>
      </c>
      <c r="B20" s="2121"/>
      <c r="C20" s="1743">
        <f>C8-C17</f>
        <v>309986</v>
      </c>
      <c r="D20" s="1743">
        <f t="shared" ref="D20:K20" si="5">D8-D17</f>
        <v>0</v>
      </c>
      <c r="E20" s="1743">
        <f t="shared" si="5"/>
        <v>0</v>
      </c>
      <c r="F20" s="1743">
        <f t="shared" si="5"/>
        <v>0</v>
      </c>
      <c r="G20" s="1743">
        <f t="shared" si="5"/>
        <v>0</v>
      </c>
      <c r="H20" s="1743">
        <f t="shared" si="5"/>
        <v>0</v>
      </c>
      <c r="I20" s="1743">
        <f t="shared" si="5"/>
        <v>0</v>
      </c>
      <c r="J20" s="1743">
        <f t="shared" si="5"/>
        <v>0</v>
      </c>
      <c r="K20" s="1743">
        <f t="shared" si="5"/>
        <v>0</v>
      </c>
      <c r="L20" s="347"/>
    </row>
    <row r="21" spans="1:12" ht="16.7" customHeight="1" thickTop="1" x14ac:dyDescent="0.2">
      <c r="A21" s="2132" t="s">
        <v>595</v>
      </c>
      <c r="B21" s="2133"/>
      <c r="C21" s="1567"/>
      <c r="D21" s="1568"/>
      <c r="E21" s="1568"/>
      <c r="F21" s="1568"/>
      <c r="G21" s="1568"/>
      <c r="H21" s="1568"/>
      <c r="I21" s="1568"/>
      <c r="J21" s="1568"/>
      <c r="K21" s="1569"/>
      <c r="L21" s="521"/>
    </row>
    <row r="22" spans="1:12" ht="15.75" customHeight="1" collapsed="1" x14ac:dyDescent="0.2">
      <c r="A22" s="2128" t="s">
        <v>596</v>
      </c>
      <c r="B22" s="2129"/>
      <c r="C22" s="475"/>
      <c r="D22" s="475"/>
      <c r="E22" s="475"/>
      <c r="F22" s="475"/>
      <c r="G22" s="475"/>
      <c r="H22" s="475"/>
      <c r="I22" s="475"/>
      <c r="J22" s="475"/>
      <c r="K22" s="475"/>
      <c r="L22" s="347"/>
    </row>
    <row r="23" spans="1:12" s="483" customFormat="1" ht="15.75" customHeight="1" x14ac:dyDescent="0.2">
      <c r="A23" s="2124" t="s">
        <v>293</v>
      </c>
      <c r="B23" s="2125"/>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6" t="s">
        <v>981</v>
      </c>
      <c r="B32" s="2127"/>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4" t="s">
        <v>374</v>
      </c>
      <c r="B44" s="2135"/>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28" t="s">
        <v>108</v>
      </c>
      <c r="B45" s="2129"/>
      <c r="C45" s="525"/>
      <c r="D45" s="525"/>
      <c r="E45" s="525"/>
      <c r="F45" s="525"/>
      <c r="G45" s="525"/>
      <c r="H45" s="525"/>
      <c r="I45" s="525"/>
      <c r="J45" s="525"/>
      <c r="K45" s="525"/>
      <c r="L45" s="347"/>
    </row>
    <row r="46" spans="1:12" s="483" customFormat="1" ht="15.75" customHeight="1" x14ac:dyDescent="0.2">
      <c r="A46" s="2136" t="s">
        <v>109</v>
      </c>
      <c r="B46" s="2137"/>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0" t="s">
        <v>440</v>
      </c>
      <c r="B76" s="2111"/>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2" t="s">
        <v>1177</v>
      </c>
      <c r="B77" s="2113"/>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16" t="s">
        <v>597</v>
      </c>
      <c r="B78" s="2117"/>
      <c r="C78" s="1699">
        <f t="shared" ref="C78:K78" si="9">C20+C77</f>
        <v>309986</v>
      </c>
      <c r="D78" s="1699">
        <f t="shared" si="9"/>
        <v>0</v>
      </c>
      <c r="E78" s="1699">
        <f t="shared" si="9"/>
        <v>0</v>
      </c>
      <c r="F78" s="1699">
        <f t="shared" si="9"/>
        <v>0</v>
      </c>
      <c r="G78" s="1699">
        <f t="shared" si="9"/>
        <v>0</v>
      </c>
      <c r="H78" s="1699">
        <f t="shared" si="9"/>
        <v>0</v>
      </c>
      <c r="I78" s="1699">
        <f t="shared" si="9"/>
        <v>0</v>
      </c>
      <c r="J78" s="1699">
        <f t="shared" si="9"/>
        <v>0</v>
      </c>
      <c r="K78" s="1699">
        <f t="shared" si="9"/>
        <v>0</v>
      </c>
      <c r="L78" s="530"/>
    </row>
    <row r="79" spans="1:12" ht="13.5" thickTop="1" x14ac:dyDescent="0.2">
      <c r="A79" s="1491" t="s">
        <v>1949</v>
      </c>
      <c r="B79" s="531"/>
      <c r="C79" s="476">
        <v>541945</v>
      </c>
      <c r="D79" s="476">
        <v>0</v>
      </c>
      <c r="E79" s="476">
        <v>0</v>
      </c>
      <c r="F79" s="476">
        <v>0</v>
      </c>
      <c r="G79" s="476">
        <v>0</v>
      </c>
      <c r="H79" s="476">
        <v>0</v>
      </c>
      <c r="I79" s="476">
        <v>0</v>
      </c>
      <c r="J79" s="476">
        <v>0</v>
      </c>
      <c r="K79" s="476">
        <v>0</v>
      </c>
      <c r="L79" s="347"/>
    </row>
    <row r="80" spans="1:12" x14ac:dyDescent="0.2">
      <c r="A80" s="2122" t="s">
        <v>1795</v>
      </c>
      <c r="B80" s="2123"/>
      <c r="C80" s="467">
        <v>0</v>
      </c>
      <c r="D80" s="467">
        <v>0</v>
      </c>
      <c r="E80" s="467">
        <v>0</v>
      </c>
      <c r="F80" s="467">
        <v>0</v>
      </c>
      <c r="G80" s="467">
        <v>0</v>
      </c>
      <c r="H80" s="467">
        <v>0</v>
      </c>
      <c r="I80" s="467">
        <v>0</v>
      </c>
      <c r="J80" s="467">
        <v>0</v>
      </c>
      <c r="K80" s="467">
        <v>0</v>
      </c>
      <c r="L80" s="347"/>
    </row>
    <row r="81" spans="1:12" ht="13.5" thickBot="1" x14ac:dyDescent="0.25">
      <c r="A81" s="2114" t="s">
        <v>1950</v>
      </c>
      <c r="B81" s="2115"/>
      <c r="C81" s="1685">
        <f>(SUM(C78:C80))</f>
        <v>851931</v>
      </c>
      <c r="D81" s="1685">
        <f>SUM(D78:D80)</f>
        <v>0</v>
      </c>
      <c r="E81" s="1685">
        <f t="shared" ref="E81:K81" si="10">SUM(E78:E80)</f>
        <v>0</v>
      </c>
      <c r="F81" s="1685">
        <f t="shared" si="10"/>
        <v>0</v>
      </c>
      <c r="G81" s="1685">
        <f t="shared" si="10"/>
        <v>0</v>
      </c>
      <c r="H81" s="1685">
        <f t="shared" si="10"/>
        <v>0</v>
      </c>
      <c r="I81" s="1685">
        <f t="shared" si="10"/>
        <v>0</v>
      </c>
      <c r="J81" s="1685">
        <f t="shared" si="10"/>
        <v>0</v>
      </c>
      <c r="K81" s="1685">
        <f t="shared" si="10"/>
        <v>0</v>
      </c>
      <c r="L81" s="347"/>
    </row>
    <row r="82" spans="1:12" ht="0.75" customHeight="1" thickTop="1" thickBot="1" x14ac:dyDescent="0.25">
      <c r="A82" s="533" t="s">
        <v>343</v>
      </c>
      <c r="B82" s="534"/>
      <c r="C82" s="535">
        <f>(C81-C79)</f>
        <v>309986</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0.36386280109539387</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B5" sqref="B5"/>
      <selection pane="bottomLeft" activeCell="C32" sqref="C32"/>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8" t="s">
        <v>1802</v>
      </c>
      <c r="B1" s="452"/>
      <c r="C1" s="453" t="s">
        <v>425</v>
      </c>
      <c r="D1" s="453" t="s">
        <v>426</v>
      </c>
      <c r="E1" s="453" t="s">
        <v>427</v>
      </c>
      <c r="F1" s="453" t="s">
        <v>428</v>
      </c>
      <c r="G1" s="453" t="s">
        <v>429</v>
      </c>
      <c r="H1" s="453" t="s">
        <v>430</v>
      </c>
      <c r="I1" s="453" t="s">
        <v>431</v>
      </c>
      <c r="J1" s="453" t="s">
        <v>432</v>
      </c>
      <c r="K1" s="453" t="s">
        <v>756</v>
      </c>
    </row>
    <row r="2" spans="1:12" ht="36" x14ac:dyDescent="0.2">
      <c r="A2" s="211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0</v>
      </c>
      <c r="D12" s="1704">
        <f t="shared" si="0"/>
        <v>0</v>
      </c>
      <c r="E12" s="1704">
        <f t="shared" si="0"/>
        <v>0</v>
      </c>
      <c r="F12" s="1704">
        <f t="shared" si="0"/>
        <v>0</v>
      </c>
      <c r="G12" s="1704">
        <f t="shared" si="0"/>
        <v>0</v>
      </c>
      <c r="H12" s="1704">
        <f t="shared" si="0"/>
        <v>0</v>
      </c>
      <c r="I12" s="1704">
        <f t="shared" si="0"/>
        <v>0</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776400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776400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15305</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15305</v>
      </c>
      <c r="D67" s="1685">
        <f t="shared" ref="D67:K67" si="2">SUM(D65:D66)</f>
        <v>0</v>
      </c>
      <c r="E67" s="1685">
        <f t="shared" si="2"/>
        <v>0</v>
      </c>
      <c r="F67" s="1685">
        <f t="shared" si="2"/>
        <v>0</v>
      </c>
      <c r="G67" s="1685">
        <f t="shared" si="2"/>
        <v>0</v>
      </c>
      <c r="H67" s="1685">
        <f t="shared" si="2"/>
        <v>0</v>
      </c>
      <c r="I67" s="1685">
        <f t="shared" si="2"/>
        <v>0</v>
      </c>
      <c r="J67" s="1685">
        <f t="shared" si="2"/>
        <v>0</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12250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12238</v>
      </c>
      <c r="D105" s="558"/>
      <c r="E105" s="468"/>
      <c r="F105" s="468"/>
      <c r="G105" s="468"/>
      <c r="H105" s="507"/>
      <c r="I105" s="468"/>
      <c r="J105" s="468"/>
      <c r="K105" s="468"/>
    </row>
    <row r="106" spans="1:12" ht="12.75" customHeight="1" x14ac:dyDescent="0.2">
      <c r="A106" s="463" t="s">
        <v>1430</v>
      </c>
      <c r="B106" s="470">
        <v>1993</v>
      </c>
      <c r="C106" s="466">
        <v>1600</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26088</v>
      </c>
      <c r="D108" s="1704">
        <f t="shared" ref="D108:K108" si="3">SUM(D95:D107)</f>
        <v>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817793</v>
      </c>
      <c r="D109" s="1712">
        <f t="shared" si="4"/>
        <v>0</v>
      </c>
      <c r="E109" s="1712">
        <f t="shared" si="4"/>
        <v>0</v>
      </c>
      <c r="F109" s="1712">
        <f t="shared" si="4"/>
        <v>0</v>
      </c>
      <c r="G109" s="1712">
        <f t="shared" si="4"/>
        <v>0</v>
      </c>
      <c r="H109" s="1712">
        <f t="shared" si="4"/>
        <v>0</v>
      </c>
      <c r="I109" s="1712">
        <f t="shared" si="4"/>
        <v>0</v>
      </c>
      <c r="J109" s="1712">
        <f t="shared" si="4"/>
        <v>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845699</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845699</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0</v>
      </c>
      <c r="G153" s="467"/>
      <c r="H153" s="468"/>
      <c r="I153" s="468"/>
      <c r="J153" s="468"/>
      <c r="K153" s="468"/>
    </row>
    <row r="154" spans="1:11" ht="12.75" customHeight="1" x14ac:dyDescent="0.2">
      <c r="A154" s="463" t="s">
        <v>69</v>
      </c>
      <c r="B154" s="559">
        <v>3599</v>
      </c>
      <c r="C154" s="548">
        <v>0</v>
      </c>
      <c r="D154" s="466">
        <v>0</v>
      </c>
      <c r="E154" s="558"/>
      <c r="F154" s="466">
        <v>0</v>
      </c>
      <c r="G154" s="467"/>
      <c r="H154" s="468"/>
      <c r="I154" s="468"/>
      <c r="J154" s="468"/>
      <c r="K154" s="468"/>
    </row>
    <row r="155" spans="1:11" ht="12.75" customHeight="1" thickBot="1" x14ac:dyDescent="0.25">
      <c r="A155" s="1705" t="s">
        <v>94</v>
      </c>
      <c r="B155" s="1717"/>
      <c r="C155" s="1704">
        <f>SUM(C152:C154)</f>
        <v>0</v>
      </c>
      <c r="D155" s="1704">
        <f>SUM(D152:D154)</f>
        <v>0</v>
      </c>
      <c r="E155" s="558"/>
      <c r="F155" s="1704">
        <f>SUM(F152:F154)</f>
        <v>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38" t="s">
        <v>398</v>
      </c>
      <c r="B169" s="2139"/>
      <c r="C169" s="1719">
        <f t="shared" ref="C169:K169" si="6">SUM(C132,C141,C145,C146:C150,C155,C156:C167,C168)</f>
        <v>845699</v>
      </c>
      <c r="D169" s="1719">
        <f t="shared" si="6"/>
        <v>0</v>
      </c>
      <c r="E169" s="1719">
        <f t="shared" si="6"/>
        <v>0</v>
      </c>
      <c r="F169" s="1719">
        <f t="shared" si="6"/>
        <v>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845699</v>
      </c>
      <c r="D170" s="1712">
        <f t="shared" si="7"/>
        <v>0</v>
      </c>
      <c r="E170" s="1712">
        <f t="shared" si="7"/>
        <v>0</v>
      </c>
      <c r="F170" s="1712">
        <f t="shared" si="7"/>
        <v>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0" t="s">
        <v>1492</v>
      </c>
      <c r="B172" s="214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4" t="s">
        <v>1665</v>
      </c>
      <c r="B175" s="214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8" t="s">
        <v>1664</v>
      </c>
      <c r="B176" s="214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6" t="s">
        <v>785</v>
      </c>
      <c r="B181" s="214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2" t="s">
        <v>1803</v>
      </c>
      <c r="B182" s="2143"/>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24570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24570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24570</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1688062</v>
      </c>
      <c r="D268" s="1712">
        <f t="shared" si="12"/>
        <v>0</v>
      </c>
      <c r="E268" s="1712">
        <f t="shared" si="12"/>
        <v>0</v>
      </c>
      <c r="F268" s="1712">
        <f t="shared" si="12"/>
        <v>0</v>
      </c>
      <c r="G268" s="1712">
        <f t="shared" si="12"/>
        <v>0</v>
      </c>
      <c r="H268" s="1712">
        <f t="shared" si="12"/>
        <v>0</v>
      </c>
      <c r="I268" s="1712">
        <f t="shared" si="12"/>
        <v>0</v>
      </c>
      <c r="J268" s="1712">
        <f t="shared" si="12"/>
        <v>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B5" sqref="B5"/>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2"/>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8" t="s">
        <v>297</v>
      </c>
      <c r="B3" s="2159"/>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0</v>
      </c>
      <c r="D5" s="466">
        <v>0</v>
      </c>
      <c r="E5" s="466">
        <v>0</v>
      </c>
      <c r="F5" s="466">
        <v>0</v>
      </c>
      <c r="G5" s="466">
        <v>0</v>
      </c>
      <c r="H5" s="466">
        <v>0</v>
      </c>
      <c r="I5" s="467">
        <v>0</v>
      </c>
      <c r="J5" s="467">
        <v>0</v>
      </c>
      <c r="K5" s="1668">
        <f>SUM(C5:J5)</f>
        <v>0</v>
      </c>
      <c r="L5" s="471">
        <v>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0</v>
      </c>
      <c r="D8" s="466">
        <v>0</v>
      </c>
      <c r="E8" s="466">
        <v>0</v>
      </c>
      <c r="F8" s="466">
        <v>0</v>
      </c>
      <c r="G8" s="466">
        <v>0</v>
      </c>
      <c r="H8" s="466">
        <v>0</v>
      </c>
      <c r="I8" s="467">
        <v>0</v>
      </c>
      <c r="J8" s="467">
        <v>0</v>
      </c>
      <c r="K8" s="1668">
        <f t="shared" si="0"/>
        <v>0</v>
      </c>
      <c r="L8" s="471">
        <v>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663750</v>
      </c>
      <c r="D13" s="466">
        <v>107526</v>
      </c>
      <c r="E13" s="466">
        <v>32273</v>
      </c>
      <c r="F13" s="466">
        <v>72592</v>
      </c>
      <c r="G13" s="466">
        <v>10027</v>
      </c>
      <c r="H13" s="466">
        <v>486</v>
      </c>
      <c r="I13" s="467">
        <v>0</v>
      </c>
      <c r="J13" s="467">
        <v>0</v>
      </c>
      <c r="K13" s="1668">
        <f t="shared" si="0"/>
        <v>886654</v>
      </c>
      <c r="L13" s="471">
        <v>832459</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41459</v>
      </c>
      <c r="I27" s="613"/>
      <c r="J27" s="475"/>
      <c r="K27" s="1668">
        <f t="shared" si="0"/>
        <v>41459</v>
      </c>
      <c r="L27" s="471">
        <v>47000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663750</v>
      </c>
      <c r="D33" s="1667">
        <f t="shared" ref="D33:L33" si="1">SUM(D5:D32)</f>
        <v>107526</v>
      </c>
      <c r="E33" s="1667">
        <f t="shared" si="1"/>
        <v>32273</v>
      </c>
      <c r="F33" s="1667">
        <f t="shared" si="1"/>
        <v>72592</v>
      </c>
      <c r="G33" s="1667">
        <f t="shared" si="1"/>
        <v>10027</v>
      </c>
      <c r="H33" s="1667">
        <f t="shared" si="1"/>
        <v>41945</v>
      </c>
      <c r="I33" s="1667">
        <f t="shared" si="1"/>
        <v>0</v>
      </c>
      <c r="J33" s="1667">
        <f t="shared" si="1"/>
        <v>0</v>
      </c>
      <c r="K33" s="1667">
        <f t="shared" si="1"/>
        <v>928113</v>
      </c>
      <c r="L33" s="1667">
        <f t="shared" si="1"/>
        <v>879459</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30913</v>
      </c>
      <c r="D37" s="466">
        <v>6441</v>
      </c>
      <c r="E37" s="466">
        <v>609</v>
      </c>
      <c r="F37" s="466">
        <v>0</v>
      </c>
      <c r="G37" s="466">
        <v>0</v>
      </c>
      <c r="H37" s="466">
        <v>0</v>
      </c>
      <c r="I37" s="467">
        <v>0</v>
      </c>
      <c r="J37" s="467">
        <v>0</v>
      </c>
      <c r="K37" s="1668">
        <f t="shared" si="2"/>
        <v>37963</v>
      </c>
      <c r="L37" s="466">
        <v>46033</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30913</v>
      </c>
      <c r="D42" s="1667">
        <f t="shared" ref="D42:L42" si="3">SUM(D36:D41)</f>
        <v>6441</v>
      </c>
      <c r="E42" s="1667">
        <f t="shared" si="3"/>
        <v>609</v>
      </c>
      <c r="F42" s="1667">
        <f t="shared" si="3"/>
        <v>0</v>
      </c>
      <c r="G42" s="1667">
        <f t="shared" si="3"/>
        <v>0</v>
      </c>
      <c r="H42" s="1667">
        <f t="shared" si="3"/>
        <v>0</v>
      </c>
      <c r="I42" s="1667">
        <f t="shared" si="3"/>
        <v>0</v>
      </c>
      <c r="J42" s="1667">
        <f t="shared" si="3"/>
        <v>0</v>
      </c>
      <c r="K42" s="1667">
        <f t="shared" si="3"/>
        <v>37963</v>
      </c>
      <c r="L42" s="1667">
        <f t="shared" si="3"/>
        <v>46033</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17</v>
      </c>
      <c r="D44" s="479">
        <v>3</v>
      </c>
      <c r="E44" s="479">
        <v>8634</v>
      </c>
      <c r="F44" s="479">
        <v>5928</v>
      </c>
      <c r="G44" s="479">
        <v>7681</v>
      </c>
      <c r="H44" s="479">
        <v>1248</v>
      </c>
      <c r="I44" s="467">
        <v>0</v>
      </c>
      <c r="J44" s="467">
        <v>0</v>
      </c>
      <c r="K44" s="1669">
        <f>SUM(C44:J44)</f>
        <v>23511</v>
      </c>
      <c r="L44" s="479">
        <v>6850</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340</v>
      </c>
      <c r="F46" s="466">
        <v>0</v>
      </c>
      <c r="G46" s="466">
        <v>0</v>
      </c>
      <c r="H46" s="466">
        <v>0</v>
      </c>
      <c r="I46" s="467">
        <v>0</v>
      </c>
      <c r="J46" s="467">
        <v>0</v>
      </c>
      <c r="K46" s="1669">
        <f>SUM(C46:J46)</f>
        <v>340</v>
      </c>
      <c r="L46" s="466">
        <v>0</v>
      </c>
    </row>
    <row r="47" spans="1:14" ht="12.75" customHeight="1" thickBot="1" x14ac:dyDescent="0.25">
      <c r="A47" s="1665" t="s">
        <v>561</v>
      </c>
      <c r="B47" s="1666" t="s">
        <v>32</v>
      </c>
      <c r="C47" s="1667">
        <f>SUM(C44:C46)</f>
        <v>17</v>
      </c>
      <c r="D47" s="1667">
        <f t="shared" ref="D47:K47" si="4">SUM(D44:D46)</f>
        <v>3</v>
      </c>
      <c r="E47" s="1667">
        <f t="shared" si="4"/>
        <v>8974</v>
      </c>
      <c r="F47" s="1667">
        <f t="shared" si="4"/>
        <v>5928</v>
      </c>
      <c r="G47" s="1667">
        <f t="shared" si="4"/>
        <v>7681</v>
      </c>
      <c r="H47" s="1667">
        <f t="shared" si="4"/>
        <v>1248</v>
      </c>
      <c r="I47" s="1667">
        <f t="shared" si="4"/>
        <v>0</v>
      </c>
      <c r="J47" s="1667">
        <f t="shared" si="4"/>
        <v>0</v>
      </c>
      <c r="K47" s="1667">
        <f t="shared" si="4"/>
        <v>23851</v>
      </c>
      <c r="L47" s="1667">
        <f>SUM(L44:L46)</f>
        <v>6850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0</v>
      </c>
      <c r="F49" s="479">
        <v>0</v>
      </c>
      <c r="G49" s="479">
        <v>0</v>
      </c>
      <c r="H49" s="479">
        <v>0</v>
      </c>
      <c r="I49" s="467">
        <v>0</v>
      </c>
      <c r="J49" s="467">
        <v>0</v>
      </c>
      <c r="K49" s="1669">
        <f>SUM(C49:J49)</f>
        <v>0</v>
      </c>
      <c r="L49" s="479">
        <v>0</v>
      </c>
    </row>
    <row r="50" spans="1:14" x14ac:dyDescent="0.2">
      <c r="A50" s="1501" t="s">
        <v>818</v>
      </c>
      <c r="B50" s="611">
        <v>2320</v>
      </c>
      <c r="C50" s="467">
        <v>0</v>
      </c>
      <c r="D50" s="466">
        <v>0</v>
      </c>
      <c r="E50" s="466">
        <v>0</v>
      </c>
      <c r="F50" s="466">
        <v>0</v>
      </c>
      <c r="G50" s="466">
        <v>0</v>
      </c>
      <c r="H50" s="466">
        <v>0</v>
      </c>
      <c r="I50" s="467">
        <v>0</v>
      </c>
      <c r="J50" s="467">
        <v>0</v>
      </c>
      <c r="K50" s="1669">
        <f>SUM(C50:J50)</f>
        <v>0</v>
      </c>
      <c r="L50" s="466">
        <v>0</v>
      </c>
    </row>
    <row r="51" spans="1:14" x14ac:dyDescent="0.2">
      <c r="A51" s="1501" t="s">
        <v>42</v>
      </c>
      <c r="B51" s="611">
        <v>2330</v>
      </c>
      <c r="C51" s="466">
        <v>119917</v>
      </c>
      <c r="D51" s="466">
        <v>42985</v>
      </c>
      <c r="E51" s="466">
        <v>17658</v>
      </c>
      <c r="F51" s="466">
        <v>5267</v>
      </c>
      <c r="G51" s="466">
        <v>0</v>
      </c>
      <c r="H51" s="466">
        <v>605</v>
      </c>
      <c r="I51" s="467">
        <v>0</v>
      </c>
      <c r="J51" s="467">
        <v>0</v>
      </c>
      <c r="K51" s="1669">
        <f>SUM(C51:J51)</f>
        <v>186432</v>
      </c>
      <c r="L51" s="466">
        <v>181935</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119917</v>
      </c>
      <c r="D53" s="1667">
        <f t="shared" ref="D53:L53" si="5">SUM(D49:D52)</f>
        <v>42985</v>
      </c>
      <c r="E53" s="1667">
        <f t="shared" si="5"/>
        <v>17658</v>
      </c>
      <c r="F53" s="1667">
        <f t="shared" si="5"/>
        <v>5267</v>
      </c>
      <c r="G53" s="1667">
        <f t="shared" si="5"/>
        <v>0</v>
      </c>
      <c r="H53" s="1667">
        <f t="shared" si="5"/>
        <v>605</v>
      </c>
      <c r="I53" s="1667">
        <f t="shared" si="5"/>
        <v>0</v>
      </c>
      <c r="J53" s="1667">
        <f t="shared" si="5"/>
        <v>0</v>
      </c>
      <c r="K53" s="1667">
        <f t="shared" si="5"/>
        <v>186432</v>
      </c>
      <c r="L53" s="1667">
        <f t="shared" si="5"/>
        <v>181935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0</v>
      </c>
      <c r="D60" s="466">
        <v>0</v>
      </c>
      <c r="E60" s="466">
        <v>0</v>
      </c>
      <c r="F60" s="466">
        <v>0</v>
      </c>
      <c r="G60" s="466">
        <v>0</v>
      </c>
      <c r="H60" s="466">
        <v>0</v>
      </c>
      <c r="I60" s="467">
        <v>0</v>
      </c>
      <c r="J60" s="467">
        <v>0</v>
      </c>
      <c r="K60" s="1669">
        <f t="shared" si="7"/>
        <v>0</v>
      </c>
      <c r="L60" s="466">
        <v>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0</v>
      </c>
      <c r="F63" s="466">
        <v>0</v>
      </c>
      <c r="G63" s="466">
        <v>0</v>
      </c>
      <c r="H63" s="466">
        <v>0</v>
      </c>
      <c r="I63" s="467">
        <v>0</v>
      </c>
      <c r="J63" s="467">
        <v>0</v>
      </c>
      <c r="K63" s="1669">
        <f t="shared" si="7"/>
        <v>0</v>
      </c>
      <c r="L63" s="466">
        <v>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0</v>
      </c>
      <c r="D65" s="1667">
        <f t="shared" ref="D65:L65" si="8">SUM(D59:D64)</f>
        <v>0</v>
      </c>
      <c r="E65" s="1667">
        <f t="shared" si="8"/>
        <v>0</v>
      </c>
      <c r="F65" s="1667">
        <f t="shared" si="8"/>
        <v>0</v>
      </c>
      <c r="G65" s="1667">
        <f t="shared" si="8"/>
        <v>0</v>
      </c>
      <c r="H65" s="1667">
        <f t="shared" si="8"/>
        <v>0</v>
      </c>
      <c r="I65" s="1667">
        <f t="shared" si="8"/>
        <v>0</v>
      </c>
      <c r="J65" s="1667">
        <f t="shared" si="8"/>
        <v>0</v>
      </c>
      <c r="K65" s="1667">
        <f t="shared" si="8"/>
        <v>0</v>
      </c>
      <c r="L65" s="1667">
        <f t="shared" si="8"/>
        <v>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150847</v>
      </c>
      <c r="D74" s="1674">
        <f t="shared" ref="D74:K74" si="10">SUM(D42,D47,D53,D57,D65,D72,D73)</f>
        <v>49429</v>
      </c>
      <c r="E74" s="1674">
        <f t="shared" si="10"/>
        <v>27241</v>
      </c>
      <c r="F74" s="1674">
        <f t="shared" si="10"/>
        <v>11195</v>
      </c>
      <c r="G74" s="1674">
        <f t="shared" si="10"/>
        <v>7681</v>
      </c>
      <c r="H74" s="1674">
        <f t="shared" si="10"/>
        <v>1853</v>
      </c>
      <c r="I74" s="1674">
        <f t="shared" si="10"/>
        <v>0</v>
      </c>
      <c r="J74" s="1674">
        <f t="shared" si="10"/>
        <v>0</v>
      </c>
      <c r="K74" s="1674">
        <f t="shared" si="10"/>
        <v>248246</v>
      </c>
      <c r="L74" s="1674">
        <f>SUM(L42,L47,L53,L57,L65,L72,L73)</f>
        <v>234818</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162317</v>
      </c>
      <c r="F81" s="613"/>
      <c r="G81" s="613"/>
      <c r="H81" s="466">
        <v>0</v>
      </c>
      <c r="I81" s="475"/>
      <c r="J81" s="475"/>
      <c r="K81" s="1668">
        <f t="shared" si="11"/>
        <v>162317</v>
      </c>
      <c r="L81" s="466">
        <v>166000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162317</v>
      </c>
      <c r="F84" s="613"/>
      <c r="G84" s="613"/>
      <c r="H84" s="1667">
        <f>SUM(H78:H83)</f>
        <v>0</v>
      </c>
      <c r="I84" s="475"/>
      <c r="J84" s="475"/>
      <c r="K84" s="1667">
        <f>SUM(K78:K83)</f>
        <v>162317</v>
      </c>
      <c r="L84" s="1667">
        <f>SUM(L78:L83)</f>
        <v>166000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39400</v>
      </c>
      <c r="I88" s="475"/>
      <c r="J88" s="475"/>
      <c r="K88" s="1674">
        <f t="shared" si="12"/>
        <v>39400</v>
      </c>
      <c r="L88" s="527">
        <v>45900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39400</v>
      </c>
      <c r="I92" s="475"/>
      <c r="J92" s="475"/>
      <c r="K92" s="1674">
        <f t="shared" si="12"/>
        <v>39400</v>
      </c>
      <c r="L92" s="1667">
        <f>SUM(L85:L91)</f>
        <v>45900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162317</v>
      </c>
      <c r="F102" s="613"/>
      <c r="G102" s="613"/>
      <c r="H102" s="1674">
        <f>SUM(H84,H92,H100,H101)</f>
        <v>39400</v>
      </c>
      <c r="I102" s="475"/>
      <c r="J102" s="475"/>
      <c r="K102" s="1674">
        <f>SUM(K84,K92,K100,K101)</f>
        <v>201717</v>
      </c>
      <c r="L102" s="1674">
        <f>SUM(L84,L92,L100,L101)</f>
        <v>211900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70000</v>
      </c>
      <c r="M113" s="610"/>
      <c r="N113" s="610"/>
    </row>
    <row r="114" spans="1:14" ht="12.75" customHeight="1" thickTop="1" thickBot="1" x14ac:dyDescent="0.25">
      <c r="A114" s="1665" t="s">
        <v>48</v>
      </c>
      <c r="B114" s="1679"/>
      <c r="C114" s="1667">
        <f>SUM(C33,C74,C75,C102,C112,C113)</f>
        <v>814597</v>
      </c>
      <c r="D114" s="1667">
        <f t="shared" ref="D114:K114" si="13">SUM(D33,D74,D75,D102,D112,D113)</f>
        <v>156955</v>
      </c>
      <c r="E114" s="1667">
        <f t="shared" si="13"/>
        <v>221831</v>
      </c>
      <c r="F114" s="1667">
        <f t="shared" si="13"/>
        <v>83787</v>
      </c>
      <c r="G114" s="1667">
        <f t="shared" si="13"/>
        <v>17708</v>
      </c>
      <c r="H114" s="1667">
        <f>SUM(H33,H74,H75,H102,H112,H113)</f>
        <v>83198</v>
      </c>
      <c r="I114" s="1667">
        <f t="shared" si="13"/>
        <v>0</v>
      </c>
      <c r="J114" s="1667">
        <f t="shared" si="13"/>
        <v>0</v>
      </c>
      <c r="K114" s="1667">
        <f t="shared" si="13"/>
        <v>1378076</v>
      </c>
      <c r="L114" s="1667">
        <f>SUM(L33,L74,L75,L102,L112,L113)</f>
        <v>1396177</v>
      </c>
    </row>
    <row r="115" spans="1:14" ht="13.5" thickTop="1" x14ac:dyDescent="0.2">
      <c r="A115" s="2150" t="s">
        <v>996</v>
      </c>
      <c r="B115" s="2151"/>
      <c r="C115" s="615"/>
      <c r="D115" s="615"/>
      <c r="E115" s="615"/>
      <c r="F115" s="615"/>
      <c r="G115" s="615"/>
      <c r="H115" s="615"/>
      <c r="I115" s="615"/>
      <c r="J115" s="615"/>
      <c r="K115" s="1681">
        <f>'Revenues 9-14'!C268-'Expenditures 15-22'!K114</f>
        <v>309986</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5" t="s">
        <v>296</v>
      </c>
      <c r="B117" s="2156"/>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0</v>
      </c>
      <c r="F124" s="466">
        <v>0</v>
      </c>
      <c r="G124" s="466">
        <v>0</v>
      </c>
      <c r="H124" s="466">
        <v>0</v>
      </c>
      <c r="I124" s="467">
        <v>0</v>
      </c>
      <c r="J124" s="467">
        <v>0</v>
      </c>
      <c r="K124" s="1667">
        <f>SUM(C124:J124)</f>
        <v>0</v>
      </c>
      <c r="L124" s="466">
        <v>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0</v>
      </c>
      <c r="F127" s="1667">
        <f t="shared" si="14"/>
        <v>0</v>
      </c>
      <c r="G127" s="1667">
        <f t="shared" si="14"/>
        <v>0</v>
      </c>
      <c r="H127" s="1667">
        <f t="shared" si="14"/>
        <v>0</v>
      </c>
      <c r="I127" s="1667">
        <f t="shared" si="14"/>
        <v>0</v>
      </c>
      <c r="J127" s="1667">
        <f t="shared" si="14"/>
        <v>0</v>
      </c>
      <c r="K127" s="1667">
        <f t="shared" si="14"/>
        <v>0</v>
      </c>
      <c r="L127" s="1667">
        <f t="shared" si="14"/>
        <v>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0</v>
      </c>
      <c r="F129" s="1674">
        <f t="shared" si="15"/>
        <v>0</v>
      </c>
      <c r="G129" s="1674">
        <f t="shared" si="15"/>
        <v>0</v>
      </c>
      <c r="H129" s="1674">
        <f t="shared" si="15"/>
        <v>0</v>
      </c>
      <c r="I129" s="1674">
        <f t="shared" si="15"/>
        <v>0</v>
      </c>
      <c r="J129" s="1674">
        <f t="shared" si="15"/>
        <v>0</v>
      </c>
      <c r="K129" s="1674">
        <f t="shared" si="15"/>
        <v>0</v>
      </c>
      <c r="L129" s="1674">
        <f t="shared" si="15"/>
        <v>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67" t="s">
        <v>620</v>
      </c>
      <c r="B151" s="2147"/>
      <c r="C151" s="1667">
        <f>SUM(C129,C130,C139,C149,C150)</f>
        <v>0</v>
      </c>
      <c r="D151" s="1667">
        <f t="shared" ref="D151:K151" si="16">SUM(D129,D130,D139,D149,D150)</f>
        <v>0</v>
      </c>
      <c r="E151" s="1667">
        <f t="shared" si="16"/>
        <v>0</v>
      </c>
      <c r="F151" s="1667">
        <f t="shared" si="16"/>
        <v>0</v>
      </c>
      <c r="G151" s="1667">
        <f t="shared" si="16"/>
        <v>0</v>
      </c>
      <c r="H151" s="1667">
        <f t="shared" si="16"/>
        <v>0</v>
      </c>
      <c r="I151" s="1667">
        <f t="shared" si="16"/>
        <v>0</v>
      </c>
      <c r="J151" s="1667">
        <f t="shared" si="16"/>
        <v>0</v>
      </c>
      <c r="K151" s="1667">
        <f t="shared" si="16"/>
        <v>0</v>
      </c>
      <c r="L151" s="1667">
        <f>SUM(L129,L130,L139,L149,L150)</f>
        <v>0</v>
      </c>
    </row>
    <row r="152" spans="1:14" ht="12.75" customHeight="1" thickTop="1" x14ac:dyDescent="0.2">
      <c r="A152" s="2170" t="s">
        <v>1178</v>
      </c>
      <c r="B152" s="2171"/>
      <c r="C152" s="615"/>
      <c r="D152" s="615"/>
      <c r="E152" s="615"/>
      <c r="F152" s="615"/>
      <c r="G152" s="615"/>
      <c r="H152" s="615"/>
      <c r="I152" s="615"/>
      <c r="J152" s="613"/>
      <c r="K152" s="1681">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5" t="s">
        <v>621</v>
      </c>
      <c r="B154" s="2157"/>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150" t="s">
        <v>996</v>
      </c>
      <c r="B175" s="2151"/>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0</v>
      </c>
      <c r="F182" s="466">
        <v>0</v>
      </c>
      <c r="G182" s="466">
        <v>0</v>
      </c>
      <c r="H182" s="466">
        <v>0</v>
      </c>
      <c r="I182" s="467">
        <v>0</v>
      </c>
      <c r="J182" s="467">
        <v>0</v>
      </c>
      <c r="K182" s="1668">
        <f>SUM(C182:J182)</f>
        <v>0</v>
      </c>
      <c r="L182" s="466">
        <v>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0</v>
      </c>
      <c r="F210" s="1667">
        <f>SUM(F184,F185)</f>
        <v>0</v>
      </c>
      <c r="G210" s="1667">
        <f>SUM(G184,G185)</f>
        <v>0</v>
      </c>
      <c r="H210" s="1667">
        <f>SUM(H184,H185,H196,H208,H209)</f>
        <v>0</v>
      </c>
      <c r="I210" s="1667">
        <f>SUM(I184,I185)</f>
        <v>0</v>
      </c>
      <c r="J210" s="1667">
        <f>SUM(J184,J185)</f>
        <v>0</v>
      </c>
      <c r="K210" s="1668">
        <f>SUM(K184,K185,K196,K208,K209)</f>
        <v>0</v>
      </c>
      <c r="L210" s="1667">
        <f>SUM(L184,L185,L196,L208,L209)</f>
        <v>0</v>
      </c>
    </row>
    <row r="211" spans="1:14" ht="13.5" thickTop="1" x14ac:dyDescent="0.2">
      <c r="A211" s="2150" t="s">
        <v>996</v>
      </c>
      <c r="B211" s="2151"/>
      <c r="C211" s="615"/>
      <c r="D211" s="615"/>
      <c r="E211" s="615"/>
      <c r="F211" s="615"/>
      <c r="G211" s="615"/>
      <c r="H211" s="615"/>
      <c r="I211" s="613"/>
      <c r="J211" s="613"/>
      <c r="K211" s="1681">
        <f>'Revenues 9-14'!F268-'Expenditures 15-22'!K210</f>
        <v>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2" t="s">
        <v>965</v>
      </c>
      <c r="B213" s="2173"/>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0</v>
      </c>
      <c r="E215" s="613"/>
      <c r="F215" s="613"/>
      <c r="G215" s="613"/>
      <c r="H215" s="613"/>
      <c r="I215" s="613"/>
      <c r="J215" s="613"/>
      <c r="K215" s="1668">
        <f>D215</f>
        <v>0</v>
      </c>
      <c r="L215" s="466">
        <v>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0</v>
      </c>
      <c r="E229" s="613"/>
      <c r="F229" s="613"/>
      <c r="G229" s="613"/>
      <c r="H229" s="613"/>
      <c r="I229" s="613"/>
      <c r="J229" s="613"/>
      <c r="K229" s="1667">
        <f>SUM(K215:K228)</f>
        <v>0</v>
      </c>
      <c r="L229" s="1667">
        <f>SUM(L215:L228)</f>
        <v>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0</v>
      </c>
      <c r="E246" s="613"/>
      <c r="F246" s="613"/>
      <c r="G246" s="613"/>
      <c r="H246" s="613"/>
      <c r="I246" s="613"/>
      <c r="J246" s="613"/>
      <c r="K246" s="1669">
        <f t="shared" ref="K246:K256" si="21">D246</f>
        <v>0</v>
      </c>
      <c r="L246" s="466">
        <v>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0</v>
      </c>
      <c r="E257" s="613"/>
      <c r="F257" s="613"/>
      <c r="G257" s="613"/>
      <c r="H257" s="613"/>
      <c r="I257" s="613"/>
      <c r="J257" s="613"/>
      <c r="K257" s="1667">
        <f>SUM(K245:K256)</f>
        <v>0</v>
      </c>
      <c r="L257" s="1667">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0</v>
      </c>
      <c r="E266" s="613"/>
      <c r="F266" s="613"/>
      <c r="G266" s="613"/>
      <c r="H266" s="613"/>
      <c r="I266" s="613"/>
      <c r="J266" s="613"/>
      <c r="K266" s="1669">
        <f t="shared" si="22"/>
        <v>0</v>
      </c>
      <c r="L266" s="466">
        <v>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0</v>
      </c>
      <c r="E270" s="613"/>
      <c r="F270" s="613"/>
      <c r="G270" s="613"/>
      <c r="H270" s="613"/>
      <c r="I270" s="613"/>
      <c r="J270" s="613"/>
      <c r="K270" s="1667">
        <f>SUM(K263:K269)</f>
        <v>0</v>
      </c>
      <c r="L270" s="1667">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0</v>
      </c>
      <c r="E279" s="613"/>
      <c r="F279" s="613"/>
      <c r="G279" s="613"/>
      <c r="H279" s="613"/>
      <c r="I279" s="613"/>
      <c r="J279" s="613"/>
      <c r="K279" s="1674">
        <f>SUM(K238,K243,K257,K261,K270,K277,K278)</f>
        <v>0</v>
      </c>
      <c r="L279" s="1674">
        <f>SUM(L238,L243,L257,L261,L270,L277,L278)</f>
        <v>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8" t="s">
        <v>505</v>
      </c>
      <c r="B295" s="2169"/>
      <c r="C295" s="613"/>
      <c r="D295" s="1667">
        <f>SUM(D229,D279,D280,D285)</f>
        <v>0</v>
      </c>
      <c r="E295" s="613"/>
      <c r="F295" s="613"/>
      <c r="G295" s="613"/>
      <c r="H295" s="1667">
        <f>H293</f>
        <v>0</v>
      </c>
      <c r="I295" s="613"/>
      <c r="J295" s="613"/>
      <c r="K295" s="1667">
        <f>SUM(K229,K279,K280,K285,K293,K294)</f>
        <v>0</v>
      </c>
      <c r="L295" s="1667">
        <f>SUM(L229,L279,L280,L285,L293,L294)</f>
        <v>0</v>
      </c>
    </row>
    <row r="296" spans="1:14" ht="13.5" thickTop="1" x14ac:dyDescent="0.2">
      <c r="A296" s="2150" t="s">
        <v>996</v>
      </c>
      <c r="B296" s="2151"/>
      <c r="C296" s="613"/>
      <c r="D296" s="615"/>
      <c r="E296" s="613"/>
      <c r="F296" s="613"/>
      <c r="G296" s="613"/>
      <c r="H296" s="684"/>
      <c r="I296" s="613"/>
      <c r="J296" s="613"/>
      <c r="K296" s="1681">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0" t="s">
        <v>143</v>
      </c>
      <c r="B298" s="2154"/>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5" t="s">
        <v>277</v>
      </c>
      <c r="B312" s="2166"/>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61" t="s">
        <v>996</v>
      </c>
      <c r="B313" s="2162"/>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4" t="s">
        <v>149</v>
      </c>
      <c r="B315" s="2175"/>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6" t="s">
        <v>898</v>
      </c>
      <c r="B317" s="2175"/>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63" t="s">
        <v>996</v>
      </c>
      <c r="B343" s="2164"/>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3" t="s">
        <v>966</v>
      </c>
      <c r="B345" s="2154"/>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50" t="s">
        <v>996</v>
      </c>
      <c r="B368" s="2151"/>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4d435f69-8686-490b-bd6d-b153bf22ab50"/>
    <ds:schemaRef ds:uri="6ce3111e-7420-4802-b50a-75d4e9a0b980"/>
    <ds:schemaRef ds:uri="http://purl.org/dc/elements/1.1/"/>
    <ds:schemaRef ds:uri="d21dc803-237d-4c68-8692-8d731fd29118"/>
    <ds:schemaRef ds:uri="http://schemas.microsoft.com/office/infopath/2007/PartnerControls"/>
    <ds:schemaRef ds:uri="http://purl.org/dc/dcmitype/"/>
    <ds:schemaRef ds:uri="http://www.w3.org/XML/1998/namespace"/>
    <ds:schemaRef ds:uri="http://schemas.openxmlformats.org/package/2006/metadata/core-propertie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2019-10-18T15:56:19Z</cp:lastPrinted>
  <dcterms:created xsi:type="dcterms:W3CDTF">2003-10-29T19:06:34Z</dcterms:created>
  <dcterms:modified xsi:type="dcterms:W3CDTF">2019-12-23T17:16:52Z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