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42659F12-1693-4B45-941D-4BEBC9CB0299}"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4" r:id="rId29"/>
    <sheet name="SEFA NOTES" sheetId="173" r:id="rId30"/>
    <sheet name="SF&amp;QC Sec-1" sheetId="174" r:id="rId31"/>
    <sheet name="SF&amp;QC Sec-2" sheetId="175" r:id="rId32"/>
    <sheet name="SF&amp;QC Sec-3" sheetId="176" r:id="rId33"/>
    <sheet name="SSPAF" sheetId="177" r:id="rId34"/>
  </sheets>
  <definedNames>
    <definedName name="ADG" localSheetId="28">#REF!</definedName>
    <definedName name="ADG">#REF!</definedName>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7" i="184" l="1"/>
  <c r="J19" i="184" s="1"/>
  <c r="H17" i="184"/>
  <c r="H19" i="184" s="1"/>
  <c r="L27" i="184"/>
  <c r="L26" i="184"/>
  <c r="L25" i="184"/>
  <c r="L24" i="184"/>
  <c r="L23" i="184"/>
  <c r="L22" i="184"/>
  <c r="L21" i="184"/>
  <c r="L20" i="184"/>
  <c r="L18" i="184"/>
  <c r="I17" i="184"/>
  <c r="I19" i="184" s="1"/>
  <c r="G17" i="184"/>
  <c r="F17" i="184"/>
  <c r="F19" i="184" s="1"/>
  <c r="E17" i="184"/>
  <c r="L16" i="184"/>
  <c r="L15" i="184"/>
  <c r="L14" i="184"/>
  <c r="L13" i="184"/>
  <c r="L12" i="184"/>
  <c r="L11" i="184"/>
  <c r="B4" i="184"/>
  <c r="I27" i="179"/>
  <c r="G27" i="179"/>
  <c r="G19" i="184" s="1"/>
  <c r="L19" i="184" s="1"/>
  <c r="F27" i="179"/>
  <c r="E27" i="179"/>
  <c r="E19" i="184" s="1"/>
  <c r="I23" i="179"/>
  <c r="G23" i="179"/>
  <c r="F23" i="179"/>
  <c r="E23" i="179"/>
  <c r="I17" i="179"/>
  <c r="G17" i="179"/>
  <c r="F17" i="179"/>
  <c r="E17" i="179"/>
  <c r="L17" i="184"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4"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82" i="36"/>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E27" i="108"/>
  <c r="F27" i="108"/>
  <c r="G27" i="108"/>
  <c r="F31" i="108"/>
  <c r="G28" i="108"/>
  <c r="G30" i="108"/>
  <c r="D36" i="108"/>
  <c r="E31" i="108"/>
  <c r="G31" i="108"/>
  <c r="E33"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D7245" i="106" l="1"/>
  <c r="G14" i="4"/>
  <c r="B2609" i="106" s="1"/>
  <c r="D2609" i="106" s="1"/>
  <c r="L367" i="29"/>
  <c r="F19" i="7"/>
  <c r="B1807" i="106" s="1"/>
  <c r="D1807" i="106" s="1"/>
  <c r="F72" i="34"/>
  <c r="F71" i="34"/>
  <c r="F56" i="34"/>
  <c r="F50" i="34"/>
  <c r="F42" i="34"/>
  <c r="G39" i="108"/>
  <c r="G29" i="108"/>
  <c r="F36" i="108"/>
  <c r="F28" i="108"/>
  <c r="G26" i="108"/>
  <c r="B7047" i="106"/>
  <c r="D7047" i="106" s="1"/>
  <c r="K184" i="29"/>
  <c r="F13" i="4" s="1"/>
  <c r="B2596" i="106" s="1"/>
  <c r="D2596" i="106" s="1"/>
  <c r="G210" i="29"/>
  <c r="B1274" i="106"/>
  <c r="D1274" i="106" s="1"/>
  <c r="B1124" i="106"/>
  <c r="D1124" i="106" s="1"/>
  <c r="G15" i="145"/>
  <c r="G35" i="108"/>
  <c r="E35" i="108"/>
  <c r="E34" i="108"/>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C114" i="29"/>
  <c r="B757" i="106" s="1"/>
  <c r="D757" i="106" s="1"/>
  <c r="B7618" i="106"/>
  <c r="L14" i="11"/>
  <c r="B7623" i="106" s="1"/>
  <c r="D7250" i="106"/>
  <c r="B7230" i="106"/>
  <c r="D7230" i="106" s="1"/>
  <c r="I352" i="29"/>
  <c r="I367" i="29" s="1"/>
  <c r="B7215" i="106"/>
  <c r="D7215"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B5778" i="106" l="1"/>
  <c r="D5778" i="106" s="1"/>
  <c r="G6" i="4"/>
  <c r="B2604" i="106" s="1"/>
  <c r="D2604" i="106" s="1"/>
  <c r="L16" i="11"/>
  <c r="B2061" i="106" s="1"/>
  <c r="D2061" i="106" s="1"/>
  <c r="F41" i="108"/>
  <c r="G43" i="108" s="1"/>
  <c r="B5770" i="106"/>
  <c r="D5770" i="106" s="1"/>
  <c r="B1328" i="106"/>
  <c r="D1328" i="106" s="1"/>
  <c r="K365" i="29"/>
  <c r="B1381" i="106"/>
  <c r="D1381" i="106" s="1"/>
  <c r="J16" i="4"/>
  <c r="B6226" i="106" s="1"/>
  <c r="D6226" i="106" s="1"/>
  <c r="L114" i="29"/>
  <c r="B5527" i="106"/>
  <c r="D5527" i="106" s="1"/>
  <c r="B1365" i="106"/>
  <c r="D1365" i="106" s="1"/>
  <c r="F65" i="34"/>
  <c r="B2031" i="106"/>
  <c r="D2031"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<sst xmlns="http://schemas.openxmlformats.org/spreadsheetml/2006/main" count="5206" uniqueCount="2152">
  <si>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</si>
  <si>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</si>
  <si>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</si>
  <si>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</si>
  <si>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</si>
  <si>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</si>
  <si>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</si>
  <si>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</si>
  <si>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</si>
  <si>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</si>
  <si>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</si>
  <si>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</si>
  <si>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</si>
  <si>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</si>
  <si>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</si>
  <si>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</si>
  <si>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</si>
  <si>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</si>
  <si>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</si>
  <si>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</si>
  <si>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</si>
  <si>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</si>
  <si>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</si>
  <si>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</si>
  <si>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</si>
  <si>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</si>
  <si>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</si>
  <si>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</si>
  <si>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</si>
  <si>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</si>
  <si>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</si>
  <si>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</si>
  <si>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</si>
  <si>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</si>
  <si>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</si>
  <si>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</si>
  <si>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</si>
  <si>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</si>
  <si>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</si>
  <si>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</si>
  <si>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</si>
  <si>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</si>
  <si>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</si>
  <si>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</si>
  <si>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</si>
  <si>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</si>
  <si>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</si>
  <si>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</si>
  <si>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</si>
  <si>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</si>
  <si>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</si>
  <si>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</si>
  <si>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</si>
  <si>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</si>
  <si>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</si>
  <si>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</si>
  <si>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</si>
  <si>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</si>
  <si>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</si>
  <si>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</si>
  <si>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</si>
  <si>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</si>
  <si>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</si>
  <si>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</si>
  <si>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</si>
  <si>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</si>
  <si>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</si>
  <si>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</si>
  <si>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</si>
  <si>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</si>
  <si>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</si>
  <si>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</si>
  <si>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</si>
  <si>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</si>
  <si>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</si>
  <si>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</si>
  <si>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</si>
  <si>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</si>
  <si>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</si>
  <si>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</si>
  <si>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</si>
  <si>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</si>
  <si>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</si>
  <si>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</si>
  <si>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</si>
  <si>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</si>
  <si>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</si>
  <si>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</si>
  <si>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</si>
  <si>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</si>
  <si>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</si>
  <si>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</si>
  <si>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</si>
  <si>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</si>
  <si>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</si>
  <si>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</si>
  <si>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</si>
  <si>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</si>
  <si>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</si>
  <si>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</si>
  <si>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</si>
  <si>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</si>
  <si>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</si>
  <si>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</si>
  <si>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</si>
  <si>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</si>
  <si>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</si>
  <si>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</si>
  <si>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</si>
  <si>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</si>
  <si>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</si>
  <si>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</si>
  <si>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</si>
  <si>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</si>
  <si>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</si>
  <si>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</si>
  <si>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</si>
  <si>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</si>
  <si>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</si>
  <si>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</si>
  <si>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</si>
  <si>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</si>
  <si>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</si>
  <si>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</si>
  <si>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</si>
  <si>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</si>
  <si>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</si>
  <si>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</si>
  <si>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</si>
  <si>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</si>
  <si>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</si>
  <si>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</si>
  <si>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</si>
  <si>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</si>
  <si>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</si>
  <si>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</si>
  <si>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</si>
  <si>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</si>
  <si>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</si>
  <si>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</si>
  <si>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</si>
  <si>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</si>
  <si>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</si>
  <si>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</si>
  <si>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</si>
  <si>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</si>
  <si>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</si>
  <si>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</si>
  <si>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</si>
  <si>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</si>
  <si>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</si>
  <si>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</si>
  <si>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</si>
  <si>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</si>
  <si>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</si>
  <si>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</si>
  <si>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</si>
  <si>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</si>
  <si>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</si>
  <si>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</si>
  <si>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</si>
  <si>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</si>
  <si>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</si>
  <si>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</si>
  <si>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</si>
  <si>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</si>
  <si>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</si>
  <si>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</si>
  <si>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</si>
  <si>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</si>
  <si>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</si>
  <si>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</si>
  <si>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</si>
  <si>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</si>
  <si>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</si>
  <si>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</si>
  <si>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</si>
  <si>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</si>
  <si>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</si>
  <si>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</si>
  <si>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</si>
  <si>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</si>
  <si>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</si>
  <si>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</si>
  <si>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</si>
  <si>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</si>
  <si>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</si>
  <si>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</si>
  <si>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</si>
  <si>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</si>
  <si>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</si>
  <si>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</si>
  <si>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</si>
  <si>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</si>
  <si>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</si>
  <si>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</si>
  <si>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</si>
  <si>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</si>
  <si>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</si>
  <si>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</si>
  <si>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</si>
  <si>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</si>
  <si>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</si>
  <si>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</si>
  <si>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</si>
  <si>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</si>
  <si>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</si>
  <si>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</si>
  <si>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</si>
  <si>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</si>
  <si>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</si>
  <si>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</si>
  <si>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</si>
  <si>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</si>
  <si>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</si>
  <si>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</si>
  <si>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</si>
  <si>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</si>
  <si>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</si>
  <si>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</si>
  <si>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</si>
  <si>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</si>
  <si>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</si>
  <si>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</si>
  <si>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</si>
  <si>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</si>
  <si>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</si>
  <si>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</si>
  <si>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</si>
  <si>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</si>
  <si>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</si>
  <si>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</si>
  <si>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</si>
  <si>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</si>
  <si>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</si>
  <si>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</si>
  <si>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</si>
  <si>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</si>
  <si>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</si>
  <si>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</si>
  <si>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</si>
  <si>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</si>
  <si>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</si>
  <si>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</si>
  <si>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</si>
  <si>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</si>
  <si>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</si>
  <si>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</si>
  <si>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</si>
  <si>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</si>
  <si>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</si>
  <si>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</si>
  <si>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</si>
  <si>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</si>
  <si>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</si>
  <si>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</si>
  <si>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</si>
  <si>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</si>
  <si>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</si>
  <si>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</si>
  <si>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</si>
  <si>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</si>
  <si>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</si>
  <si>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</si>
  <si>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</si>
  <si>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</si>
  <si>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</si>
  <si>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</si>
  <si>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</si>
  <si>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</si>
  <si>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</si>
  <si>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</si>
  <si>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</si>
  <si>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</si>
  <si>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</si>
  <si>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</si>
  <si>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</si>
  <si>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</si>
  <si>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</si>
  <si>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</si>
  <si>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</si>
  <si>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</si>
  <si>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</si>
  <si>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</si>
  <si>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</si>
  <si>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</si>
  <si>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</si>
  <si>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</si>
  <si>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</si>
  <si>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</si>
  <si>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</si>
  <si>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</si>
  <si>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</si>
  <si>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</si>
  <si>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</si>
  <si>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</si>
  <si>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</si>
  <si>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</si>
  <si>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</si>
  <si>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</si>
  <si>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</si>
  <si>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</si>
  <si>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</si>
  <si>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</si>
  <si>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</si>
  <si>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</si>
  <si>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</si>
  <si>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</si>
  <si>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</si>
  <si>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</si>
  <si>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</si>
  <si>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</si>
  <si>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</si>
  <si>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</si>
  <si>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</si>
  <si>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</si>
  <si>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</si>
  <si>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</si>
  <si>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</si>
  <si>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</si>
  <si>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</si>
  <si>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</si>
  <si>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</si>
  <si>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</si>
  <si>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</si>
  <si>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</si>
  <si>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</si>
  <si>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</si>
  <si>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</si>
  <si>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</si>
  <si>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</si>
  <si>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</si>
  <si>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</si>
  <si>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</si>
  <si>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</si>
  <si>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</si>
  <si>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</si>
  <si>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</si>
  <si>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</si>
  <si>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</si>
  <si>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</si>
  <si>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</si>
  <si>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</si>
  <si>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</si>
  <si>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</si>
  <si>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</si>
  <si>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</si>
  <si>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</si>
  <si>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</si>
  <si>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</si>
  <si>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</si>
  <si>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</si>
  <si>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</si>
  <si>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</si>
  <si>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</si>
  <si>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</si>
  <si>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</si>
  <si>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</si>
  <si>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</si>
  <si>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</si>
  <si>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</si>
  <si>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</si>
  <si>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</si>
  <si>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</si>
  <si>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</si>
  <si>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</si>
  <si>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</si>
  <si>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</si>
  <si>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</si>
  <si>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</si>
  <si>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</si>
  <si>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</si>
  <si>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</si>
  <si>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</si>
  <si>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</si>
  <si>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</si>
  <si>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</si>
  <si>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</si>
  <si>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</si>
  <si>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</si>
  <si>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</si>
  <si>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</si>
  <si>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</si>
  <si>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</si>
  <si>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</si>
  <si>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</si>
  <si>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</si>
  <si>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</si>
  <si>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</si>
  <si>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</si>
  <si>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</si>
  <si>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</si>
  <si>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</si>
  <si>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</si>
  <si>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</si>
  <si>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</si>
  <si>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</si>
  <si>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</si>
  <si>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</si>
  <si>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</si>
  <si>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</si>
  <si>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</si>
  <si>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</si>
  <si>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</si>
  <si>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</si>
  <si>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</si>
  <si>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</si>
  <si>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</si>
  <si>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</si>
  <si>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</si>
  <si>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</si>
  <si>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</si>
  <si>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</si>
  <si>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</si>
  <si>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</si>
  <si>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</si>
  <si>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</si>
  <si>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</si>
  <si>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</si>
  <si>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</si>
  <si>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</si>
  <si>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</si>
  <si>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</si>
  <si>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</si>
  <si>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</si>
  <si>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</si>
  <si>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</si>
  <si>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</si>
  <si>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</si>
  <si>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</si>
  <si>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</si>
  <si>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</si>
  <si>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</si>
  <si>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</si>
  <si>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</si>
  <si>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</si>
  <si>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</si>
  <si>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</si>
  <si>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</si>
  <si>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</si>
  <si>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</si>
  <si>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</si>
  <si>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</si>
  <si>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</si>
  <si>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</si>
  <si>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</si>
  <si>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</si>
  <si>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</si>
  <si>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</si>
  <si>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</si>
  <si>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</si>
  <si>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</si>
  <si>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</si>
  <si>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</si>
  <si>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</si>
  <si>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</si>
  <si>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</si>
  <si>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</si>
  <si>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</si>
  <si>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</si>
  <si>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</si>
  <si>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</si>
  <si>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</si>
  <si>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</si>
  <si>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</si>
  <si>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</si>
  <si>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</si>
  <si>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</si>
  <si>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</si>
  <si>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</si>
  <si>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</si>
  <si>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</si>
  <si>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</si>
  <si>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</si>
  <si>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</si>
  <si>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</si>
  <si>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</si>
  <si>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</si>
  <si>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</si>
  <si>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</si>
  <si>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</si>
  <si>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</si>
  <si>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</si>
  <si>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</si>
  <si>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</si>
  <si>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</si>
  <si>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</si>
  <si>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</si>
  <si>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</si>
  <si>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</si>
  <si>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</si>
  <si>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</si>
  <si>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</si>
  <si>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</si>
  <si>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</si>
  <si>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</si>
  <si>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</si>
  <si>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</si>
  <si>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</si>
  <si>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</si>
  <si>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</si>
  <si>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</si>
  <si>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</si>
  <si>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</si>
  <si>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</si>
  <si>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</si>
  <si>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</si>
  <si>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</si>
  <si>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</si>
  <si>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</si>
  <si>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</si>
  <si>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</si>
  <si>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</si>
  <si>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</si>
  <si>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</si>
  <si>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</si>
  <si>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</si>
  <si>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</si>
  <si>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</si>
  <si>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</si>
  <si>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</si>
  <si>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</si>
  <si>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</si>
  <si>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</si>
  <si>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</si>
  <si>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</si>
  <si>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</si>
  <si>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</si>
  <si>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</si>
  <si>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</si>
  <si>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</si>
  <si>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</si>
  <si>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</si>
  <si>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</si>
  <si>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</si>
  <si>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</si>
  <si>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</si>
  <si>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</si>
  <si>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</si>
  <si>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</si>
  <si>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</si>
  <si>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</si>
  <si>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</si>
  <si>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</si>
  <si>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</si>
  <si>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</si>
  <si>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</si>
  <si>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</si>
  <si>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</si>
  <si>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</si>
  <si>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</si>
  <si>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</si>
  <si>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</si>
  <si>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</si>
  <si>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</si>
  <si>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</si>
  <si>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</si>
  <si>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</si>
  <si>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</si>
  <si>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</si>
  <si>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</si>
  <si>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</si>
  <si>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</si>
  <si>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</si>
  <si>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</si>
  <si>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</si>
  <si>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</si>
  <si>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</si>
  <si>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</si>
  <si>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</si>
  <si>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</si>
  <si>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</si>
  <si>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</si>
  <si>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</si>
  <si>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</si>
  <si>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</si>
  <si>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</si>
  <si>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</si>
  <si>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</si>
  <si>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</si>
  <si>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</si>
  <si>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</si>
  <si>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</si>
  <si>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</si>
  <si>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</si>
  <si>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</si>
  <si>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</si>
  <si>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</si>
  <si>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</si>
  <si>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</si>
  <si>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</si>
  <si>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</si>
  <si>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</si>
  <si>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</si>
  <si>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</si>
  <si>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</si>
  <si>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</si>
  <si>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</si>
  <si>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</si>
  <si>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</si>
  <si>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</si>
  <si>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</si>
  <si>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</si>
  <si>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</si>
  <si>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</si>
  <si>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</si>
  <si>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</si>
  <si>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</si>
  <si>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</si>
  <si>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</si>
  <si>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</si>
  <si>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</si>
  <si>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</si>
  <si>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</si>
  <si>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</si>
  <si>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</si>
  <si>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</si>
  <si>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</si>
  <si>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</si>
  <si>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</si>
  <si>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</si>
  <si>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</si>
  <si>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</si>
  <si>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</si>
  <si>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</si>
  <si>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</si>
  <si>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</si>
  <si>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</si>
  <si>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</si>
  <si>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</si>
  <si>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</si>
  <si>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</si>
  <si>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</si>
  <si>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</si>
  <si>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</si>
  <si>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</si>
  <si>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</si>
  <si>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</si>
  <si>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</si>
  <si>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</si>
  <si>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</si>
  <si>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</si>
  <si>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</si>
  <si>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</si>
  <si>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</si>
  <si>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</si>
  <si>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</si>
  <si>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</si>
  <si>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</si>
  <si>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</si>
  <si>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</si>
  <si>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</si>
  <si>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</si>
  <si>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</si>
  <si>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</si>
  <si>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</si>
  <si>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</si>
  <si>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</si>
  <si>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</si>
  <si>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</si>
  <si>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</si>
  <si>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</si>
  <si>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</si>
  <si>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</si>
  <si>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</si>
  <si>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</si>
  <si>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</si>
  <si>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</si>
  <si>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</si>
  <si>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</si>
  <si>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</si>
  <si>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</si>
  <si>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</si>
  <si>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</si>
  <si>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</si>
  <si>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</si>
  <si>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</si>
  <si>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</si>
  <si>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</si>
  <si>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</si>
  <si>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</si>
  <si>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</si>
  <si>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</si>
  <si>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</si>
  <si>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</si>
  <si>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</si>
  <si>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</si>
  <si>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</si>
  <si>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</si>
  <si>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</si>
  <si>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</si>
  <si>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</si>
  <si>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</si>
  <si>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</si>
  <si>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</si>
  <si>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</si>
  <si>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</si>
  <si>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</si>
  <si>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</si>
  <si>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</si>
  <si>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</si>
  <si>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</si>
  <si>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</si>
  <si>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</si>
  <si>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</si>
  <si>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</si>
  <si>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</si>
  <si>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</si>
  <si>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</si>
  <si>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</si>
  <si>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</si>
  <si>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</si>
  <si>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</si>
  <si>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</si>
  <si>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</si>
  <si>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</si>
  <si>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</si>
  <si>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</si>
  <si>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</si>
  <si>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</si>
  <si>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</si>
  <si>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</si>
  <si>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</si>
  <si>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</si>
  <si>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</si>
  <si>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</si>
  <si>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</si>
  <si>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</si>
  <si>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</si>
  <si>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</si>
  <si>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</si>
  <si>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</si>
  <si>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</si>
  <si>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</si>
  <si>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</si>
  <si>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</si>
  <si>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</si>
  <si>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</si>
  <si>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</si>
  <si>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</si>
  <si>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</si>
  <si>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</si>
  <si>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</si>
  <si>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</si>
  <si>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</si>
  <si>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</si>
  <si>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</si>
  <si>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</si>
  <si>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</si>
  <si>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</si>
  <si>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</si>
  <si>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</si>
  <si>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</si>
  <si>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</si>
  <si>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</si>
  <si>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</si>
  <si>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</si>
  <si>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</si>
  <si>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</si>
  <si>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</si>
  <si>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</si>
  <si>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</si>
  <si>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</si>
  <si>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</si>
  <si>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</si>
  <si>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</si>
  <si>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</si>
  <si>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</si>
  <si>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</si>
  <si>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</si>
  <si>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</si>
  <si>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</si>
  <si>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</si>
  <si>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</si>
  <si>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</si>
  <si>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</si>
  <si>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</si>
  <si>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</si>
  <si>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</si>
  <si>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</si>
  <si>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</si>
  <si>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</si>
  <si>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</si>
  <si>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</si>
  <si>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</si>
  <si>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</si>
  <si>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</si>
  <si>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</si>
  <si>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</si>
  <si>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</si>
  <si>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</si>
  <si>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</si>
  <si>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</si>
  <si>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</si>
  <si>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</si>
  <si>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</si>
  <si>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</si>
  <si>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</si>
  <si>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</si>
  <si>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</si>
  <si>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</si>
  <si>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</si>
  <si>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</si>
  <si>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</si>
  <si>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</si>
  <si>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</si>
  <si>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</si>
  <si>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</si>
  <si>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</si>
  <si>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</si>
  <si>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</si>
  <si>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</si>
  <si>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</si>
  <si>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</si>
  <si>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</si>
  <si>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</si>
  <si>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</si>
  <si>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</si>
  <si>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</si>
  <si>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</si>
  <si>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</si>
  <si>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</si>
  <si>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</si>
  <si>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</si>
  <si>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</si>
  <si>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</si>
  <si>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</si>
  <si>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</si>
  <si>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</si>
  <si>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</si>
  <si>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</si>
  <si>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</si>
  <si>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</si>
  <si>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</si>
  <si>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</si>
  <si>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</si>
  <si>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</si>
  <si>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</si>
  <si>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</si>
  <si>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</si>
  <si>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</si>
  <si>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</si>
  <si>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</si>
  <si>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</si>
  <si>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</si>
  <si>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</si>
  <si>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</si>
  <si>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</si>
  <si>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</si>
  <si>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</si>
  <si>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</si>
  <si>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</si>
  <si>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</si>
  <si>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</si>
  <si>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</si>
  <si>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</si>
  <si>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</si>
  <si>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</si>
  <si>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</si>
  <si>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</si>
  <si>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</si>
  <si>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</si>
  <si>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</si>
  <si>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</si>
  <si>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</si>
  <si>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</si>
  <si>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</si>
  <si>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</si>
  <si>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</si>
  <si>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</si>
  <si>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</si>
  <si>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</si>
  <si>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</si>
  <si>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</si>
  <si>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</si>
  <si>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</si>
  <si>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</si>
  <si>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</si>
  <si>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</si>
  <si>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</si>
  <si>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</si>
  <si>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</si>
  <si>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</si>
  <si>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</si>
  <si>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</si>
  <si>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</si>
  <si>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</si>
  <si>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</si>
  <si>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</si>
  <si>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</si>
  <si>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</si>
  <si>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</si>
  <si>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</si>
  <si>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</si>
  <si>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</si>
  <si>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</si>
  <si>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</si>
  <si>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</si>
  <si>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</si>
  <si>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</si>
  <si>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</si>
  <si>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</si>
  <si>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</si>
  <si>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</si>
  <si>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</si>
  <si>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</si>
  <si>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</si>
  <si>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</si>
  <si>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</si>
  <si>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</si>
  <si>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</si>
  <si>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</si>
  <si>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</si>
  <si>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</si>
  <si>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</si>
  <si>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</si>
  <si>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</si>
  <si>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</si>
  <si>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</si>
  <si>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</si>
  <si>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</si>
  <si>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</si>
  <si>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</si>
  <si>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</si>
  <si>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</si>
  <si>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</si>
  <si>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</si>
  <si>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</si>
  <si>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</si>
  <si>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</si>
  <si>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</si>
  <si>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</si>
  <si>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</si>
  <si>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</si>
  <si>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</si>
  <si>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</si>
  <si>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</si>
  <si>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</si>
  <si>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</si>
  <si>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</si>
  <si>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</si>
  <si>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</si>
  <si>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</si>
  <si>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</si>
  <si>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</si>
  <si>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</si>
  <si>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</si>
  <si>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</si>
  <si>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</si>
  <si>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</si>
  <si>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</si>
  <si>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</si>
  <si>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</si>
  <si>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</si>
  <si>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</si>
  <si>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</si>
  <si>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</si>
  <si>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</si>
  <si>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</si>
  <si>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</si>
  <si>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</si>
  <si>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</si>
  <si>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</si>
  <si>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</si>
  <si>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</si>
  <si>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</si>
  <si>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</si>
  <si>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</si>
  <si>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</si>
  <si>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</si>
  <si>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</si>
  <si>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</si>
  <si>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</si>
  <si>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</si>
  <si>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</si>
  <si>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</si>
  <si>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</si>
  <si>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</si>
  <si>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</si>
  <si>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</si>
  <si>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</si>
  <si>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</si>
  <si>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</si>
  <si>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</si>
  <si>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</si>
  <si>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</si>
  <si>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</si>
  <si>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</si>
  <si>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</si>
  <si>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</si>
  <si>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</si>
  <si>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</si>
  <si>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</si>
  <si>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</si>
  <si>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</si>
  <si>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</si>
  <si>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</si>
  <si>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</si>
  <si>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</si>
  <si>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</si>
  <si>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</si>
  <si>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</si>
  <si>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</si>
  <si>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</si>
  <si>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</si>
  <si>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</si>
  <si>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</si>
  <si>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</si>
  <si>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</si>
  <si>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</si>
  <si>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</si>
  <si>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</si>
  <si>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</si>
  <si>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</si>
  <si>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</si>
  <si>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</si>
  <si>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</si>
  <si>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</si>
  <si>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</si>
  <si>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</si>
  <si>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</si>
  <si>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</si>
  <si>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</si>
  <si>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</si>
  <si>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</si>
  <si>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</si>
  <si>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</si>
  <si>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</si>
  <si>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</si>
  <si>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</si>
  <si>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</si>
  <si>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</si>
  <si>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</si>
  <si>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</si>
  <si>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</si>
  <si>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</si>
  <si>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</si>
  <si>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</si>
  <si>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</si>
  <si>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</si>
  <si>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</si>
  <si>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</si>
  <si>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</si>
  <si>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</si>
  <si>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</si>
  <si>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</si>
  <si>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</si>
  <si>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</si>
  <si>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</si>
  <si>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</si>
  <si>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</si>
  <si>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</si>
  <si>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</si>
  <si>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</si>
  <si>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</si>
  <si>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</si>
  <si>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</si>
  <si>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</si>
  <si>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</si>
  <si>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</si>
  <si>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</si>
  <si>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</si>
  <si>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</si>
  <si>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</si>
  <si>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</si>
  <si>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</si>
  <si>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</si>
  <si>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</si>
  <si>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</si>
  <si>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</si>
  <si>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</si>
  <si>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</si>
  <si>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</si>
  <si>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</si>
  <si>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</si>
  <si>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</si>
  <si>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</si>
  <si>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</si>
  <si>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</si>
  <si>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</si>
  <si>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</si>
  <si>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</si>
  <si>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</si>
  <si>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</si>
  <si>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</si>
  <si>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</si>
  <si>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</si>
  <si>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</si>
  <si>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</si>
  <si>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</si>
  <si>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</si>
  <si>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</si>
  <si>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</si>
  <si>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</si>
  <si>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</si>
  <si>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</si>
  <si>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</si>
  <si>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</si>
  <si>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</si>
  <si>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</si>
  <si>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</si>
  <si>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</si>
  <si>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</si>
  <si>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</si>
  <si>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</si>
  <si>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</si>
  <si>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</si>
  <si>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</si>
  <si>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</si>
  <si>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</si>
  <si>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</si>
  <si>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</si>
  <si>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</si>
  <si>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</si>
  <si>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</si>
  <si>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</si>
  <si>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</si>
  <si>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</si>
  <si>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</si>
  <si>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</si>
  <si>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</si>
  <si>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</si>
  <si>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</si>
  <si>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</si>
  <si>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</si>
  <si>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</si>
  <si>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</si>
  <si>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</si>
  <si>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</si>
  <si>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</si>
  <si>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</si>
  <si>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</si>
  <si>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</si>
  <si>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</si>
  <si>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</si>
  <si>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</si>
  <si>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</si>
  <si>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</si>
  <si>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</si>
  <si>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</si>
  <si>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</si>
  <si>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</si>
  <si>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</si>
  <si>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</si>
  <si>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</si>
  <si>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</si>
  <si>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</si>
  <si>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</si>
  <si>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</si>
  <si>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</si>
  <si>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</si>
  <si>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</si>
  <si>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</si>
  <si>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</si>
  <si>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</si>
  <si>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</si>
  <si>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</si>
  <si>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</si>
  <si>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</si>
  <si>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</si>
  <si>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</si>
  <si>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</si>
  <si>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</si>
  <si>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</si>
  <si>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</si>
  <si>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</si>
  <si>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</si>
  <si>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</si>
  <si>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</si>
  <si>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</si>
  <si>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</si>
  <si>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</si>
  <si>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</si>
  <si>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</si>
  <si>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</si>
  <si>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</si>
  <si>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</si>
  <si>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</si>
  <si>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</si>
  <si>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</si>
  <si>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</si>
  <si>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</si>
  <si>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</si>
  <si>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</si>
  <si>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</si>
  <si>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</si>
  <si>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</si>
  <si>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</si>
  <si>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</si>
  <si>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</si>
  <si>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</si>
  <si>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</si>
  <si>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</si>
  <si>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</si>
  <si>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</si>
  <si>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</si>
  <si>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</si>
  <si>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</si>
  <si>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</si>
  <si>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</si>
  <si>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</si>
  <si>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</si>
  <si>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</si>
  <si>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</si>
  <si>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</si>
  <si>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</si>
  <si>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</si>
  <si>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</si>
  <si>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</si>
  <si>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</si>
  <si>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</si>
  <si>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</si>
  <si>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</si>
  <si>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</si>
  <si>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</si>
  <si>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</si>
  <si>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</si>
  <si>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</si>
  <si>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</si>
  <si>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</si>
  <si>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</si>
  <si>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</si>
  <si>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</si>
  <si>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</si>
  <si>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</si>
  <si>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</si>
  <si>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</si>
  <si>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</si>
  <si>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</si>
  <si>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</si>
  <si>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</si>
  <si>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</si>
  <si>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</si>
  <si>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</si>
  <si>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</si>
  <si>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</si>
  <si>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</si>
  <si>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</si>
  <si>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</si>
  <si>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</si>
  <si>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</si>
  <si>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</si>
  <si>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</si>
  <si>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</si>
  <si>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</si>
  <si>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</si>
  <si>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</si>
  <si>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</si>
  <si>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</si>
  <si>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</si>
  <si>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</si>
  <si>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</si>
  <si>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</si>
  <si>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</si>
  <si>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</si>
  <si>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</si>
  <si>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</si>
  <si>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</si>
  <si>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</si>
  <si>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</si>
  <si>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</si>
  <si>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</si>
  <si>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</si>
  <si>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</si>
  <si>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</si>
  <si>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</si>
  <si>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</si>
  <si>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</si>
  <si>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</si>
  <si>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</si>
  <si>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</si>
  <si>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</si>
  <si>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</si>
  <si>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</si>
  <si>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</si>
  <si>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</si>
  <si>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</si>
  <si>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</si>
  <si>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</si>
  <si>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</si>
  <si>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</si>
  <si>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</si>
  <si>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</si>
  <si>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</si>
  <si>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</si>
  <si>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</si>
  <si>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</si>
  <si>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</si>
  <si>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</si>
  <si>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</si>
  <si>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</si>
  <si>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</si>
  <si>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</si>
  <si>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</si>
  <si>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</si>
  <si>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</si>
  <si>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</si>
  <si>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</si>
  <si>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</si>
  <si>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</si>
  <si>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</si>
  <si>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</si>
  <si>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</si>
  <si>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</si>
  <si>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</si>
  <si>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</si>
  <si>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</si>
  <si>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</si>
  <si>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</si>
  <si>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</si>
  <si>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</si>
  <si>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</si>
  <si>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</si>
  <si>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</si>
  <si>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</si>
  <si>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</si>
  <si>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</si>
  <si>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</si>
  <si>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</si>
  <si>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</si>
  <si>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</si>
  <si>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</si>
  <si>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</si>
  <si>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</si>
  <si>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</si>
  <si>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</si>
  <si>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</si>
  <si>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</si>
  <si>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</si>
  <si>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</si>
  <si>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</si>
  <si>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</si>
  <si>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</si>
  <si>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</si>
  <si>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</si>
  <si>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</si>
  <si>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</si>
  <si>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</si>
  <si>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</si>
  <si>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</si>
  <si>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</si>
  <si>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</si>
  <si>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</si>
  <si>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</si>
  <si>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</si>
  <si>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</si>
  <si>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</si>
  <si>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</si>
  <si>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</si>
  <si>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</si>
  <si>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</si>
  <si>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</si>
  <si>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</si>
  <si>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</si>
  <si>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</si>
  <si>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</si>
  <si>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</si>
  <si>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</si>
  <si>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</si>
  <si>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</si>
  <si>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</si>
  <si>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</si>
  <si>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</si>
  <si>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</si>
  <si>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</si>
  <si>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</si>
  <si>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</si>
  <si>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</si>
  <si>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</si>
  <si>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</si>
  <si>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</si>
  <si>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</si>
  <si>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</si>
  <si>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</si>
  <si>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</si>
  <si>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</si>
  <si>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</si>
  <si>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</si>
  <si>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</si>
  <si>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</si>
  <si>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</si>
  <si>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</si>
  <si>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</si>
  <si>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</si>
  <si>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</si>
  <si>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</si>
  <si>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</si>
  <si>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</si>
  <si>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</si>
  <si>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</si>
  <si>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</si>
  <si>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</si>
  <si>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</si>
  <si>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</si>
  <si>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</si>
  <si>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</si>
  <si>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</si>
  <si>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</si>
  <si>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</si>
  <si>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</si>
  <si>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</si>
  <si>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</si>
  <si>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</si>
  <si>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</si>
  <si>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</si>
  <si>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</si>
  <si>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</si>
  <si>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</si>
  <si>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</si>
  <si>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</si>
  <si>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</si>
  <si>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</si>
  <si>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</si>
  <si>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</si>
  <si>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</si>
  <si>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</si>
  <si>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</si>
  <si>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</si>
  <si>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</si>
  <si>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</si>
  <si>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</si>
  <si>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</si>
  <si>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</si>
  <si>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</si>
  <si>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</si>
  <si>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</si>
  <si>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</si>
  <si>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</si>
  <si>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</si>
  <si>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</si>
  <si>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</si>
  <si>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</si>
  <si>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</si>
  <si>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</si>
  <si>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</si>
  <si>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</si>
  <si>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</si>
  <si>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</si>
  <si>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</si>
  <si>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</si>
  <si>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</si>
  <si>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</si>
  <si>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</si>
  <si>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</si>
  <si>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</si>
  <si>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</si>
  <si>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</si>
  <si>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</si>
  <si>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</si>
  <si>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</si>
  <si>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</si>
  <si>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</si>
  <si>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</si>
  <si>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</si>
  <si>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</si>
  <si>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</si>
  <si>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</si>
  <si>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</si>
  <si>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</si>
  <si>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</si>
  <si>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</si>
  <si>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</si>
  <si>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</si>
  <si>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</si>
  <si>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</si>
  <si>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</si>
  <si>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</si>
  <si>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</si>
  <si>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</si>
  <si>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</si>
  <si>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</si>
  <si>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</si>
  <si>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</si>
  <si>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</si>
  <si>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</si>
  <si>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</si>
  <si>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</si>
  <si>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</si>
  <si>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</si>
  <si>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</si>
  <si>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</si>
  <si>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</si>
  <si>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</si>
  <si>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</si>
  <si>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</si>
  <si>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</si>
  <si>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</si>
  <si>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</si>
  <si>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</si>
  <si>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</si>
  <si>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</si>
  <si>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</si>
  <si>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</si>
  <si>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</si>
  <si>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</si>
  <si>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</si>
  <si>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</si>
  <si>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</si>
  <si>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</si>
  <si>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</si>
  <si>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</si>
  <si>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</si>
  <si>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</si>
  <si>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</si>
  <si>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</si>
  <si>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</si>
  <si>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</si>
  <si>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</si>
  <si>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</si>
  <si>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</si>
  <si>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</si>
  <si>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</si>
  <si>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</si>
  <si>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</si>
  <si>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</si>
  <si>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</si>
  <si>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</si>
  <si>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</si>
  <si>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</si>
  <si>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</si>
  <si>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</si>
  <si>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</si>
  <si>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</si>
  <si>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</si>
  <si>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</si>
  <si>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</si>
  <si>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</si>
  <si>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</si>
  <si>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</si>
  <si>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</si>
  <si>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</si>
  <si>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</si>
  <si>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</si>
  <si>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</si>
  <si>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</si>
  <si>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</si>
  <si>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</si>
  <si>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</si>
  <si>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</si>
  <si>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</si>
  <si>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</si>
  <si>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</si>
  <si>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</si>
  <si>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</si>
  <si>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</si>
  <si>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</si>
  <si>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</si>
  <si>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</si>
  <si>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</si>
  <si>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</si>
  <si>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</si>
  <si>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</si>
  <si>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</si>
  <si>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</si>
  <si>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</si>
  <si>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</si>
  <si>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</si>
  <si>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</si>
  <si>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</si>
  <si>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</si>
  <si>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</si>
  <si>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</si>
  <si>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</si>
  <si>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</si>
  <si>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</si>
  <si>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</si>
  <si>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</si>
  <si>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</si>
  <si>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</si>
  <si>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</si>
  <si>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</si>
  <si>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</si>
  <si>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</si>
  <si>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</si>
  <si>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</si>
  <si>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</si>
  <si>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</si>
  <si>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</si>
  <si>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</si>
  <si>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</si>
  <si>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</si>
  <si>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</si>
  <si>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</si>
  <si>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</si>
  <si>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</si>
  <si>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</si>
  <si>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</si>
  <si>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</si>
  <si>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</si>
  <si>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</si>
  <si>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</si>
  <si>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</si>
  <si>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</si>
  <si>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</si>
  <si>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</si>
  <si>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</si>
  <si>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</si>
  <si>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</si>
  <si>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</si>
  <si>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</si>
  <si>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</si>
  <si>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</si>
  <si>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</si>
  <si>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</si>
  <si>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</si>
  <si>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</si>
  <si>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</si>
  <si>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</si>
  <si>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</si>
  <si>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</si>
  <si>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</si>
  <si>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</si>
  <si>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</si>
  <si>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</si>
  <si>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</si>
  <si>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</si>
  <si>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</si>
  <si>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</si>
  <si>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</si>
  <si>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</si>
  <si>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</si>
  <si>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</si>
  <si>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</si>
  <si>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</si>
  <si>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</si>
  <si>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</si>
  <si>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</si>
  <si>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</si>
  <si>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</si>
  <si>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</si>
  <si>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</si>
  <si>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</si>
  <si>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</si>
  <si>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</si>
  <si>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</si>
  <si>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</si>
  <si>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</si>
  <si>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</si>
  <si>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</si>
  <si>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</si>
  <si>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</si>
  <si>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</si>
  <si>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</si>
  <si>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</si>
  <si>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</si>
  <si>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</si>
  <si>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</si>
  <si>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</si>
  <si>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</si>
  <si>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</si>
  <si>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</si>
  <si>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</si>
  <si>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</si>
  <si>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</si>
  <si>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</si>
  <si>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</si>
  <si>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</si>
  <si>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</si>
  <si>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</si>
  <si>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</si>
  <si>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</si>
  <si>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</si>
  <si>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</si>
  <si>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</si>
  <si>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</si>
  <si>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</si>
  <si>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</si>
  <si>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</si>
  <si>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</si>
  <si>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</si>
  <si>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</si>
  <si>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</si>
  <si>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</si>
  <si>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</si>
  <si>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</si>
  <si>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</si>
  <si>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</si>
  <si>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</si>
  <si>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</si>
  <si>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</si>
  <si>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</si>
  <si>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</si>
  <si>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</si>
  <si>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</si>
  <si>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</si>
  <si>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</si>
  <si>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</si>
  <si>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</si>
  <si>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</si>
  <si>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</si>
  <si>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</si>
  <si>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</si>
  <si>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</si>
  <si>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</si>
  <si>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</si>
  <si>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</si>
  <si>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</si>
  <si>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</si>
  <si>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</si>
  <si>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</si>
  <si>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</si>
  <si>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</si>
  <si>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</si>
  <si>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</si>
  <si>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</si>
  <si>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</si>
  <si>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</si>
  <si>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</si>
  <si>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</si>
  <si>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</si>
  <si>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</si>
  <si>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</si>
  <si>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</si>
  <si>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</si>
  <si>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</si>
  <si>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</si>
  <si>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</si>
  <si>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</si>
  <si>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</si>
  <si>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</si>
  <si>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</si>
  <si>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</si>
  <si>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</si>
  <si>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</si>
  <si>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</si>
  <si>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</si>
  <si>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</si>
  <si>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</si>
  <si>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</si>
  <si>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</si>
  <si>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</si>
  <si>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</si>
  <si>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</si>
  <si>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</si>
  <si>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</si>
  <si>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</si>
  <si>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</si>
  <si>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</si>
  <si>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</si>
  <si>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</si>
  <si>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</si>
  <si>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</si>
  <si>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</si>
  <si>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</si>
  <si>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</si>
  <si>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</si>
  <si>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</si>
  <si>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</si>
  <si>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</si>
  <si>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</si>
  <si>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</si>
  <si>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</si>
  <si>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</si>
  <si>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</si>
  <si>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</si>
  <si>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</si>
  <si>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</si>
  <si>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</si>
  <si>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</si>
  <si>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</si>
  <si>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</si>
  <si>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</si>
  <si>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</si>
  <si>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</si>
  <si>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</si>
  <si>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</si>
  <si>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</si>
  <si>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</si>
  <si>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</si>
  <si>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</si>
  <si>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</si>
  <si>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</si>
  <si>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</si>
  <si>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</si>
  <si>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</si>
  <si>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</si>
  <si>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</si>
  <si>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</si>
  <si>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</si>
  <si>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</si>
  <si>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</si>
  <si>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</si>
  <si>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</si>
  <si>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</si>
  <si>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</si>
  <si>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</si>
  <si>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</si>
  <si>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</si>
  <si>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</si>
  <si>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</si>
  <si>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</si>
  <si>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</si>
  <si>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</si>
  <si>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</si>
  <si>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</si>
  <si>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</si>
  <si>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</si>
  <si>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</si>
  <si>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</si>
  <si>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</si>
  <si>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</si>
  <si>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</si>
  <si>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</si>
  <si>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</si>
  <si>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</si>
  <si>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</si>
  <si>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</si>
  <si>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</si>
  <si>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</si>
  <si>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</si>
  <si>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</si>
  <si>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</si>
  <si>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</si>
  <si>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</si>
  <si>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</si>
  <si>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</si>
  <si>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</si>
  <si>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</si>
  <si>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</si>
  <si>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</si>
  <si>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</si>
  <si>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</si>
  <si>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</si>
  <si>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</si>
  <si>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</si>
  <si>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</si>
  <si>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</si>
  <si>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</si>
  <si>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</si>
  <si>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</si>
  <si>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</si>
  <si>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</si>
  <si>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</si>
  <si>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</si>
  <si>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</si>
  <si>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</si>
  <si>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</si>
  <si>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</si>
  <si>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</si>
  <si>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</si>
  <si>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</si>
  <si>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</si>
  <si>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</si>
  <si>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</si>
  <si>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</si>
  <si>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</si>
  <si>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</si>
  <si>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</si>
  <si>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</si>
  <si>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</si>
  <si>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</si>
  <si>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</si>
  <si>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</si>
  <si>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</si>
  <si>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</si>
  <si>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</si>
  <si>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</si>
  <si>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</si>
  <si>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</si>
  <si>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</si>
  <si>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</si>
  <si>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</si>
  <si>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</si>
  <si>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</si>
  <si>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</si>
  <si>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</si>
  <si>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</si>
  <si>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</si>
  <si>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</si>
  <si>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</si>
  <si>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</si>
  <si>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</si>
  <si>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</si>
  <si>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</si>
  <si>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</si>
  <si>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</si>
  <si>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</si>
  <si>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</si>
  <si>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</si>
  <si>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</si>
  <si>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</si>
  <si>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</si>
  <si>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</si>
  <si>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</si>
  <si>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</si>
  <si>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</si>
  <si>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</si>
  <si>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</si>
  <si>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</si>
  <si>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</si>
  <si>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</si>
  <si>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</si>
  <si>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</si>
  <si>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</si>
  <si>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</si>
  <si>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</si>
  <si>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</si>
  <si>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</si>
  <si>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</si>
  <si>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</si>
  <si>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</si>
  <si>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</si>
  <si>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</si>
  <si>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</si>
  <si>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</si>
  <si>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</si>
  <si>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</si>
  <si>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</si>
  <si>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</si>
  <si>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</si>
  <si>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</si>
  <si>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</si>
  <si>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</si>
  <si>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</si>
  <si>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</si>
  <si>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</si>
  <si>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</si>
  <si>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</si>
  <si>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</si>
  <si>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</si>
  <si>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</si>
  <si>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</si>
  <si>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</si>
  <si>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</si>
  <si>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</si>
  <si>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</si>
  <si>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</si>
  <si>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</si>
  <si>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</si>
  <si>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</si>
  <si>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</si>
  <si>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</si>
  <si>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</si>
  <si>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</si>
  <si>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</si>
  <si>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</si>
  <si>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</si>
  <si>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</si>
  <si>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</si>
  <si>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</si>
  <si>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</si>
  <si>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</si>
  <si>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</si>
  <si>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</si>
  <si>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</si>
  <si>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</si>
  <si>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</si>
  <si>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</si>
  <si>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</si>
  <si>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</si>
  <si>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</si>
  <si>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</si>
  <si>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</si>
  <si>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</si>
  <si>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</si>
  <si>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</si>
  <si>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</si>
  <si>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</si>
  <si>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</si>
  <si>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</si>
  <si>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</si>
  <si>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</si>
  <si>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</si>
  <si>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</si>
  <si>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</si>
  <si>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</si>
  <si>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</si>
  <si>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</si>
  <si>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</si>
  <si>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</si>
  <si>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</si>
  <si>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</si>
  <si>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</si>
  <si>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</si>
  <si>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</si>
  <si>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</si>
  <si>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</si>
  <si>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</si>
  <si>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</si>
  <si>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</si>
  <si>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</si>
  <si>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</si>
  <si>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</si>
  <si>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</si>
  <si>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</si>
  <si>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</si>
  <si>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</si>
  <si>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</si>
  <si>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</si>
  <si>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</si>
  <si>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</si>
  <si>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</si>
  <si>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</si>
  <si>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</si>
  <si>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</si>
  <si>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</si>
  <si>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</si>
  <si>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</si>
  <si>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</si>
  <si>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</si>
  <si>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</si>
  <si>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</si>
  <si>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</si>
  <si>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</si>
  <si>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</si>
  <si>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</si>
  <si>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</si>
  <si>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</si>
  <si>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</si>
  <si>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</si>
  <si>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</si>
  <si>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</si>
  <si>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</si>
  <si>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</si>
  <si>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</si>
  <si>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</si>
  <si>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</si>
  <si>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</si>
  <si>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</si>
  <si>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</si>
  <si>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</si>
  <si>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</si>
  <si>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</si>
  <si>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</si>
  <si>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</si>
  <si>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</si>
  <si>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</si>
  <si>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</si>
  <si>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</si>
  <si>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</si>
  <si>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</si>
  <si>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</si>
  <si>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</si>
  <si>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</si>
  <si>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</si>
  <si>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</si>
  <si>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</si>
  <si>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</si>
  <si>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</si>
  <si>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</si>
  <si>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</si>
  <si>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</si>
  <si>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</si>
  <si>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</si>
  <si>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</si>
  <si>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</si>
  <si>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</si>
  <si>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</si>
  <si>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</si>
  <si>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</si>
  <si>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</si>
  <si>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</si>
  <si>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</si>
  <si>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</si>
  <si>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</si>
  <si>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</si>
  <si>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</si>
  <si>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</si>
  <si>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</si>
  <si>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</si>
  <si>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</si>
  <si>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</si>
  <si>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x</t>
  </si>
  <si>
    <t>Livingston</t>
  </si>
  <si>
    <t>Flanagan</t>
  </si>
  <si>
    <t>205 N Adams St</t>
  </si>
  <si>
    <t>jolsen@lcssu.org</t>
  </si>
  <si>
    <t>Joshua Olsen</t>
  </si>
  <si>
    <t>(815) 844-7115</t>
  </si>
  <si>
    <t>(815) 844-3170</t>
  </si>
  <si>
    <t>MCK, CPAs &amp; Advisors</t>
  </si>
  <si>
    <t>Dawn M Carlson</t>
  </si>
  <si>
    <t>207 W Jefferson St</t>
  </si>
  <si>
    <t>Bloomington</t>
  </si>
  <si>
    <t>IL</t>
  </si>
  <si>
    <t>(309) 828-6071</t>
  </si>
  <si>
    <t>(309) 827-2465</t>
  </si>
  <si>
    <t>066-005232</t>
  </si>
  <si>
    <t>ED-Oper. &amp; Maint. Plant Services</t>
  </si>
  <si>
    <t>10-2540-300</t>
  </si>
  <si>
    <t>Land Trust #747</t>
  </si>
  <si>
    <t>Trust #1961</t>
  </si>
  <si>
    <t>Pg. 11, Account 1993, Education Fund - $2,462,549 from speech pathology, occupational and physical therapy, and special education services.</t>
  </si>
  <si>
    <t>Pg. 11, Account 1999, Education Fund - $18,750 from a mental health grant and local community grants.</t>
  </si>
  <si>
    <t>Pg. 14, Account 4999, Education Fund - $67,242 from the Department of Rehabilitation Services.</t>
  </si>
  <si>
    <t>Pg . 15, Account 2190, Education Fund - $2,160 from expenditures related to employee training and travel.</t>
  </si>
  <si>
    <t>Livingston County Special Services Unit is required to maintain a system of controls over the preparation of financial statements, including disclosures.</t>
  </si>
  <si>
    <t>The Unit does not have sufficient internal controls over the financial reporting process. The Unit maintains their accounting records on the cash basis of accounting. While the Unit did not record modified accrual entries, they provided the information for the entries.</t>
  </si>
  <si>
    <t>See Condition and Effect.</t>
  </si>
  <si>
    <t>Management or employees in the normal course of performing their assigned functions may not prevent or detect financial statement misstatements and disclosure omissions in a timely manner.</t>
  </si>
  <si>
    <t>According to management, they did not have the adequate funding to hire and/or train their accounting personnel in order to maintain a system of internal control over the preparation of financial statements in accordance with the modified accrual basis.</t>
  </si>
  <si>
    <t>As part of its internal control over the preparation of its financial statements, including disclosures, the Unit should implement a comprehensive preparation and/or review procedure to ensure that they are complete and accurate. In addition, management should pursue additional training when timing and funding allows.</t>
  </si>
  <si>
    <t>The Unit is currently confident with the abilities of the accounting staff to prepare cash basis financial information as needed throughout the year. Management will review year end reporting controls annually and investigate the cost of training staff to reach appropriate levels of expertise. Management will pursue additional training when it is considered cost beneficial.</t>
  </si>
  <si>
    <t>2018-001</t>
  </si>
  <si>
    <t>The Unit did not have sufficient internal controls over the financial reporting process.</t>
  </si>
  <si>
    <t>Repeated</t>
  </si>
  <si>
    <t>2018-002</t>
  </si>
  <si>
    <t>The Unit recorded various expenditures in incorrect classifications.</t>
  </si>
  <si>
    <t>Not Repeated</t>
  </si>
  <si>
    <t>2018-003</t>
  </si>
  <si>
    <t>The Unit recorded grant salaries and employee benefits expenditures as purchased services and payments to other districts (other objects) as salaries.</t>
  </si>
  <si>
    <t xml:space="preserve">Livingston County Special Services Unit did not record fixed assets in the financial statements, and accordingly, has not considered the effects of depreciation. The amount by which this departure would affect the assets, fund balances, net position, and expenditures of the financial statements is not reasonably determined. </t>
  </si>
  <si>
    <t>U. S. DEPARTMENT OF AGRICULTURE</t>
  </si>
  <si>
    <t>Passed Through Illinois State Board of Education</t>
  </si>
  <si>
    <t>TOTAL, U. S. DEPT. OF AGRICULTURE</t>
  </si>
  <si>
    <t>U. S. DEPARTMENT OF HEALTH AND HUMAN SERVICES</t>
  </si>
  <si>
    <t>Department of Rehabilitation Services</t>
  </si>
  <si>
    <t>TOTAL, U. S. DEPT. OF HEALTH AND HUMAN SERVICES</t>
  </si>
  <si>
    <t>Medicaid Administrative Outreach</t>
  </si>
  <si>
    <t>TOTAL, ILLINOIS DEPT. OF HEALTHCARE AND FAMILY SERVICES</t>
  </si>
  <si>
    <t>2019-4210</t>
  </si>
  <si>
    <t>2018-4210</t>
  </si>
  <si>
    <t>2019-4220</t>
  </si>
  <si>
    <t>2018-4220</t>
  </si>
  <si>
    <t>2019-4900</t>
  </si>
  <si>
    <t>2018-4900</t>
  </si>
  <si>
    <t>Special Ed Pre-School Flow Through (M)</t>
  </si>
  <si>
    <t>Special Ed IDEA Flow Through (M)</t>
  </si>
  <si>
    <t>TOTAL FEDERAL AWARDS</t>
  </si>
  <si>
    <t>2019-4600</t>
  </si>
  <si>
    <t>2018-4600</t>
  </si>
  <si>
    <t>2019-4620</t>
  </si>
  <si>
    <t>2018-4620</t>
  </si>
  <si>
    <t>Prairie Central C.U. School District #8</t>
  </si>
  <si>
    <t>Pontiac Township High School #90</t>
  </si>
  <si>
    <t>84.027A</t>
  </si>
  <si>
    <t>yes</t>
  </si>
  <si>
    <t>no</t>
  </si>
  <si>
    <t>Unmodified</t>
  </si>
  <si>
    <t>Special Ed Pre-School Flow Through - Special Education Cluster</t>
  </si>
  <si>
    <t>Special Ed IDEA Flow Through - Special Education Cluster</t>
  </si>
  <si>
    <t>Livingston County Special Services Unit is required to properly record expenditures of monies when reporting grant expenditures.</t>
  </si>
  <si>
    <t>The Unit received reimbursement through their federal award twice for the same expenditure.</t>
  </si>
  <si>
    <t>The Unit charged an allowable expenditure to the grant. The Unit also received a local grant that would pay for the same expenditure. The bookkeeper attempted to transfer the expenditure to the local grant; however, she inadvertently entered the expenditure a second time instead of removing it. The original allowable expenditure was therefore duplicated on the federal grant expenditure reports, and the Unit reimbursement for it twice.</t>
  </si>
  <si>
    <t>The Unit recorded one expenditure twice.</t>
  </si>
  <si>
    <t>84.027 &amp; 84.173</t>
  </si>
  <si>
    <t>Illinois State Board of Education</t>
  </si>
  <si>
    <t>U.S. Department of Education</t>
  </si>
  <si>
    <t>AFR includes revenue receivable in FY19 that was not</t>
  </si>
  <si>
    <t>collected in FY19 for the following programs:</t>
  </si>
  <si>
    <t xml:space="preserve">   Special Ed Pre-School Flow Through</t>
  </si>
  <si>
    <t xml:space="preserve">   Special Ed IDEA Flow Through</t>
  </si>
  <si>
    <t>SEFA includes revenue collected in FY19 that was receivable</t>
  </si>
  <si>
    <t>for FY18 on the AFR for the following programs:</t>
  </si>
  <si>
    <t>dcarlson@mckcpa.com</t>
  </si>
  <si>
    <t>Special Education Cluster 2019</t>
  </si>
  <si>
    <r>
      <t>The accompanying Schedule of Expenditures of Federal Awards includes the federal grant activity of Livingston County Special Services Unit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t>
    </r>
    <r>
      <rPr>
        <b/>
        <sz val="9"/>
        <rFont val="Calibri"/>
        <family val="2"/>
        <scheme val="minor"/>
      </rPr>
      <t>asic</t>
    </r>
    <r>
      <rPr>
        <sz val="9"/>
        <rFont val="Calibri"/>
        <family val="2"/>
        <scheme val="minor"/>
      </rPr>
      <t xml:space="preserve"> financial statements.</t>
    </r>
  </si>
  <si>
    <r>
      <t>The following amounts were expended in the form of non-cash assistance by Livingston County Special Services Unit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</si>
  <si>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Livingston County Special Services Unit will ensure that proper procedures are followed when correcting an error or making a transfer. The Executive Director and Fiscal Agent will ensure proper training on such practices is provided, and that any instances where a change or transfer of funds is required is monitored by the Executive Director and Fiscal Agent.</t>
  </si>
  <si>
    <t>Pg. 24, Total Other Short-Term Borrowings - $50,000 from a new line of credit.</t>
  </si>
  <si>
    <t>When the Unit wants to transfer an expenditure to be paid by other grant awards, they should modify the original expenditure entry instead of making a new entry to transfer the expenditure out of the federal grant expenditures.  In addition, we recommend that the Unit return the questioned cost of $2099.99 to the Illinois State Board of Education.</t>
  </si>
  <si>
    <t>Livingston Co Spec Services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</si>
</sst>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415636</xdr:colOff>
          <xdr:row>3</xdr:row>
          <xdr:rowOff>147205</xdr:rowOff>
        </xdr:from>
        <xdr:to>
          <xdr:col>1</xdr:col>
          <xdr:colOff>1282411</xdr:colOff>
          <xdr:row>8</xdr:row>
          <xdr:rowOff>39832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1982" t="s">
        <v>405</v>
      </c>
      <c r="J1" s="1983"/>
      <c r="K1" s="1983"/>
      <c r="L1" s="1983"/>
      <c r="M1" s="1983"/>
      <c r="N1" s="1983"/>
      <c r="O1" s="1983"/>
      <c r="P1" s="1983"/>
      <c r="Q1" s="1983"/>
      <c r="R1" s="1983"/>
      <c r="S1" s="1983"/>
    </row>
    <row r="2" spans="1:28" ht="12" customHeight="1" x14ac:dyDescent="0.2">
      <c r="A2" s="47" t="s">
        <v>1990</v>
      </c>
      <c r="D2" s="48"/>
      <c r="I2" s="1984" t="s">
        <v>979</v>
      </c>
      <c r="J2" s="1983"/>
      <c r="K2" s="1983"/>
      <c r="L2" s="1983"/>
      <c r="M2" s="1983"/>
      <c r="N2" s="1983"/>
      <c r="O2" s="1983"/>
      <c r="P2" s="1983"/>
      <c r="Q2" s="1983"/>
      <c r="R2" s="1983"/>
      <c r="S2" s="1983"/>
    </row>
    <row r="3" spans="1:28" ht="12" customHeight="1" x14ac:dyDescent="0.2">
      <c r="A3" s="155" t="s">
        <v>1942</v>
      </c>
      <c r="B3" s="156"/>
      <c r="C3" s="156"/>
      <c r="D3" s="157"/>
      <c r="I3" s="1984" t="s">
        <v>52</v>
      </c>
      <c r="J3" s="1983"/>
      <c r="K3" s="1983"/>
      <c r="L3" s="1983"/>
      <c r="M3" s="1983"/>
      <c r="N3" s="1983"/>
      <c r="O3" s="1983"/>
      <c r="P3" s="1983"/>
      <c r="Q3" s="1983"/>
      <c r="R3" s="1983"/>
      <c r="S3" s="1983"/>
    </row>
    <row r="4" spans="1:28" ht="12" customHeight="1" x14ac:dyDescent="0.2">
      <c r="A4" s="37"/>
      <c r="I4" s="1984" t="s">
        <v>524</v>
      </c>
      <c r="J4" s="1983"/>
      <c r="K4" s="1983"/>
      <c r="L4" s="1983"/>
      <c r="M4" s="1983"/>
      <c r="N4" s="1983"/>
      <c r="O4" s="1983"/>
      <c r="P4" s="1983"/>
      <c r="Q4" s="1983"/>
      <c r="R4" s="1983"/>
      <c r="S4" s="1983"/>
    </row>
    <row r="5" spans="1:28" ht="14.1" customHeight="1" x14ac:dyDescent="0.2">
      <c r="B5" s="104"/>
      <c r="C5" s="26" t="s">
        <v>910</v>
      </c>
      <c r="D5" s="84"/>
      <c r="E5" s="84"/>
      <c r="H5" s="38"/>
      <c r="I5" s="1992" t="s">
        <v>680</v>
      </c>
      <c r="J5" s="1991"/>
      <c r="K5" s="1991"/>
      <c r="L5" s="1991"/>
      <c r="M5" s="1991"/>
      <c r="N5" s="1991"/>
      <c r="O5" s="1991"/>
      <c r="P5" s="1991"/>
      <c r="Q5" s="1991"/>
      <c r="R5" s="1991"/>
      <c r="S5" s="1991"/>
    </row>
    <row r="6" spans="1:28" ht="14.1" customHeight="1" x14ac:dyDescent="0.2">
      <c r="B6" s="104" t="s">
        <v>2062</v>
      </c>
      <c r="C6" s="26" t="s">
        <v>911</v>
      </c>
      <c r="D6" s="84"/>
      <c r="E6" s="84"/>
      <c r="I6" s="1990" t="s">
        <v>883</v>
      </c>
      <c r="J6" s="1991"/>
      <c r="K6" s="1991"/>
      <c r="L6" s="1991"/>
      <c r="M6" s="1991"/>
      <c r="N6" s="1991"/>
      <c r="O6" s="1991"/>
      <c r="P6" s="1991"/>
      <c r="Q6" s="1991"/>
      <c r="R6" s="1991"/>
      <c r="S6" s="1991"/>
    </row>
    <row r="7" spans="1:28" ht="12.2" customHeight="1" x14ac:dyDescent="0.2">
      <c r="I7" s="1985">
        <v>43646</v>
      </c>
      <c r="J7" s="1986"/>
      <c r="K7" s="1986"/>
      <c r="L7" s="1986"/>
      <c r="M7" s="1986"/>
      <c r="N7" s="1986"/>
      <c r="O7" s="1986"/>
      <c r="P7" s="1986"/>
      <c r="Q7" s="1986"/>
      <c r="R7" s="1986"/>
      <c r="S7" s="19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7" t="s">
        <v>674</v>
      </c>
      <c r="J9" s="1988"/>
      <c r="K9" s="1988"/>
      <c r="L9" s="1988"/>
      <c r="M9" s="1988"/>
      <c r="N9" s="1988"/>
      <c r="O9" s="1988"/>
      <c r="P9" s="1988"/>
      <c r="Q9" s="1988"/>
      <c r="R9" s="1988"/>
      <c r="S9" s="1989"/>
      <c r="T9" s="2003" t="s">
        <v>533</v>
      </c>
      <c r="U9" s="2004"/>
      <c r="V9" s="2004"/>
      <c r="W9" s="2004"/>
      <c r="X9" s="2004"/>
      <c r="Y9" s="2004"/>
      <c r="Z9" s="2004"/>
      <c r="AA9" s="2005"/>
    </row>
    <row r="10" spans="1:28" ht="13.5" customHeight="1" x14ac:dyDescent="0.2">
      <c r="A10" s="2010" t="s">
        <v>675</v>
      </c>
      <c r="B10" s="2011"/>
      <c r="C10" s="2011"/>
      <c r="D10" s="2011"/>
      <c r="E10" s="2011"/>
      <c r="F10" s="2011"/>
      <c r="G10" s="2011"/>
      <c r="H10" s="2012"/>
      <c r="I10" s="29"/>
      <c r="J10" s="30"/>
      <c r="K10" s="28"/>
      <c r="R10" s="30"/>
      <c r="S10" s="30"/>
      <c r="T10" s="2006"/>
      <c r="U10" s="1991"/>
      <c r="V10" s="1991"/>
      <c r="W10" s="1991"/>
      <c r="X10" s="1991"/>
      <c r="Y10" s="1991"/>
      <c r="Z10" s="1991"/>
      <c r="AA10" s="1997"/>
    </row>
    <row r="11" spans="1:28" ht="14.25" customHeight="1" x14ac:dyDescent="0.2">
      <c r="A11" s="2013" t="s">
        <v>955</v>
      </c>
      <c r="B11" s="2014"/>
      <c r="C11" s="2014"/>
      <c r="D11" s="2014"/>
      <c r="E11" s="2014"/>
      <c r="F11" s="2014"/>
      <c r="G11" s="2014"/>
      <c r="H11" s="2015"/>
      <c r="I11" s="27"/>
      <c r="J11" s="74"/>
      <c r="K11" s="27"/>
      <c r="O11" s="148"/>
      <c r="P11" s="100" t="s">
        <v>201</v>
      </c>
      <c r="Q11" s="30"/>
      <c r="R11" s="28"/>
      <c r="S11" s="27"/>
      <c r="T11" s="2007"/>
      <c r="U11" s="2008"/>
      <c r="V11" s="2008"/>
      <c r="W11" s="2008"/>
      <c r="X11" s="2008"/>
      <c r="Y11" s="2008"/>
      <c r="Z11" s="2008"/>
      <c r="AA11" s="2009"/>
    </row>
    <row r="12" spans="1:28" ht="13.5" customHeight="1" x14ac:dyDescent="0.2">
      <c r="A12" s="85" t="s">
        <v>925</v>
      </c>
      <c r="B12" s="76"/>
      <c r="C12" s="76"/>
      <c r="D12" s="76"/>
      <c r="E12" s="76"/>
      <c r="F12" s="76"/>
      <c r="G12" s="76"/>
      <c r="H12" s="53"/>
      <c r="I12" s="29"/>
      <c r="J12" s="30"/>
      <c r="K12" s="28"/>
      <c r="O12" s="149" t="s">
        <v>2062</v>
      </c>
      <c r="P12" s="100" t="s">
        <v>202</v>
      </c>
      <c r="Q12" s="74"/>
      <c r="R12" s="30"/>
      <c r="S12" s="30"/>
      <c r="T12" s="85" t="s">
        <v>265</v>
      </c>
      <c r="U12" s="51"/>
      <c r="V12" s="51"/>
      <c r="W12" s="51"/>
      <c r="X12" s="51"/>
      <c r="Y12" s="45"/>
      <c r="Z12" s="45"/>
      <c r="AA12" s="46"/>
    </row>
    <row r="13" spans="1:28" ht="13.5" customHeight="1" x14ac:dyDescent="0.2">
      <c r="A13" s="2017">
        <v>17053000061</v>
      </c>
      <c r="B13" s="2018"/>
      <c r="C13" s="2018"/>
      <c r="D13" s="2018"/>
      <c r="E13" s="2018"/>
      <c r="F13" s="2018"/>
      <c r="G13" s="2018"/>
      <c r="H13" s="2019"/>
      <c r="I13" s="31"/>
      <c r="J13" s="30"/>
      <c r="K13" s="28"/>
      <c r="L13" s="30"/>
      <c r="M13" s="30"/>
      <c r="N13" s="30"/>
      <c r="O13" s="30"/>
      <c r="P13" s="30"/>
      <c r="Q13" s="30"/>
      <c r="R13" s="30"/>
      <c r="S13" s="30"/>
      <c r="T13" s="2022" t="s">
        <v>2070</v>
      </c>
      <c r="U13" s="2023"/>
      <c r="V13" s="2023"/>
      <c r="W13" s="2023"/>
      <c r="X13" s="2023"/>
      <c r="Y13" s="2024"/>
      <c r="Z13" s="2024"/>
      <c r="AA13" s="202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6" t="s">
        <v>2063</v>
      </c>
      <c r="B15" s="2020"/>
      <c r="C15" s="2020"/>
      <c r="D15" s="2020"/>
      <c r="E15" s="2020"/>
      <c r="F15" s="2020"/>
      <c r="G15" s="2020"/>
      <c r="H15" s="2021"/>
      <c r="T15" s="2026" t="s">
        <v>2071</v>
      </c>
      <c r="U15" s="1970"/>
      <c r="V15" s="1970"/>
      <c r="W15" s="1970"/>
      <c r="X15" s="1970"/>
      <c r="Y15" s="2027"/>
      <c r="Z15" s="2027"/>
      <c r="AA15" s="202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6" t="s">
        <v>2151</v>
      </c>
      <c r="B17" s="1977"/>
      <c r="C17" s="1977"/>
      <c r="D17" s="1977"/>
      <c r="E17" s="1977"/>
      <c r="F17" s="1977"/>
      <c r="G17" s="1977"/>
      <c r="H17" s="2002"/>
      <c r="T17" s="2033" t="s">
        <v>2072</v>
      </c>
      <c r="U17" s="2034"/>
      <c r="V17" s="2034"/>
      <c r="W17" s="2034"/>
      <c r="X17" s="2034"/>
      <c r="Y17" s="2034"/>
      <c r="Z17" s="2034"/>
      <c r="AA17" s="2035"/>
    </row>
    <row r="18" spans="1:27" ht="13.5" customHeight="1" x14ac:dyDescent="0.2">
      <c r="A18" s="85" t="s">
        <v>530</v>
      </c>
      <c r="B18" s="76"/>
      <c r="C18" s="72"/>
      <c r="D18" s="76"/>
      <c r="E18" s="76"/>
      <c r="F18" s="76"/>
      <c r="G18" s="76"/>
      <c r="H18" s="56"/>
      <c r="I18" s="2001" t="s">
        <v>676</v>
      </c>
      <c r="J18" s="1952"/>
      <c r="K18" s="1952"/>
      <c r="L18" s="1952"/>
      <c r="M18" s="1952"/>
      <c r="N18" s="1952"/>
      <c r="O18" s="1952"/>
      <c r="P18" s="1952"/>
      <c r="Q18" s="1952"/>
      <c r="R18" s="1952"/>
      <c r="S18" s="1953"/>
      <c r="T18" s="85" t="s">
        <v>711</v>
      </c>
      <c r="U18" s="51"/>
      <c r="V18" s="72"/>
      <c r="W18" s="50"/>
      <c r="X18" s="85" t="s">
        <v>266</v>
      </c>
      <c r="Y18" s="81"/>
      <c r="Z18" s="159" t="s">
        <v>677</v>
      </c>
      <c r="AA18" s="46"/>
    </row>
    <row r="19" spans="1:27" ht="13.5" customHeight="1" x14ac:dyDescent="0.2">
      <c r="A19" s="2016" t="s">
        <v>2065</v>
      </c>
      <c r="B19" s="1962"/>
      <c r="C19" s="1962"/>
      <c r="D19" s="1962"/>
      <c r="E19" s="1962"/>
      <c r="F19" s="1962"/>
      <c r="G19" s="1962"/>
      <c r="H19" s="1942"/>
      <c r="I19" s="30"/>
      <c r="J19" s="99"/>
      <c r="K19" s="40"/>
      <c r="L19" s="38"/>
      <c r="M19" s="112" t="s">
        <v>315</v>
      </c>
      <c r="P19" s="27"/>
      <c r="Q19" s="27"/>
      <c r="R19" s="27"/>
      <c r="S19" s="31"/>
      <c r="T19" s="2016" t="s">
        <v>2073</v>
      </c>
      <c r="U19" s="1941"/>
      <c r="V19" s="1941"/>
      <c r="W19" s="1942"/>
      <c r="X19" s="2031" t="s">
        <v>2074</v>
      </c>
      <c r="Y19" s="2032"/>
      <c r="Z19" s="2029">
        <v>61701</v>
      </c>
      <c r="AA19" s="203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0" t="s">
        <v>2064</v>
      </c>
      <c r="B21" s="1941"/>
      <c r="C21" s="1941"/>
      <c r="D21" s="1941"/>
      <c r="E21" s="1941"/>
      <c r="F21" s="1941"/>
      <c r="G21" s="1941"/>
      <c r="H21" s="1942"/>
      <c r="I21" s="1996" t="s">
        <v>678</v>
      </c>
      <c r="J21" s="1991"/>
      <c r="K21" s="1991"/>
      <c r="L21" s="1991"/>
      <c r="M21" s="1991"/>
      <c r="N21" s="1991"/>
      <c r="O21" s="1991"/>
      <c r="P21" s="1991"/>
      <c r="Q21" s="1991"/>
      <c r="R21" s="1991"/>
      <c r="S21" s="1997"/>
      <c r="T21" s="2040" t="s">
        <v>2075</v>
      </c>
      <c r="U21" s="2041"/>
      <c r="V21" s="2041"/>
      <c r="W21" s="2041"/>
      <c r="X21" s="2046" t="s">
        <v>2076</v>
      </c>
      <c r="Y21" s="2047"/>
      <c r="Z21" s="2047"/>
      <c r="AA21" s="2048"/>
    </row>
    <row r="22" spans="1:27" ht="13.5" customHeight="1" x14ac:dyDescent="0.2">
      <c r="A22" s="87" t="s">
        <v>531</v>
      </c>
      <c r="B22" s="59"/>
      <c r="C22" s="59"/>
      <c r="D22" s="59"/>
      <c r="E22" s="59"/>
      <c r="F22" s="59"/>
      <c r="G22" s="59"/>
      <c r="H22" s="60"/>
      <c r="I22" s="1998" t="s">
        <v>1429</v>
      </c>
      <c r="J22" s="1999"/>
      <c r="K22" s="1999"/>
      <c r="L22" s="1999"/>
      <c r="M22" s="1999"/>
      <c r="N22" s="1999"/>
      <c r="O22" s="1999"/>
      <c r="P22" s="1999"/>
      <c r="Q22" s="1999"/>
      <c r="R22" s="1999"/>
      <c r="S22" s="2000"/>
      <c r="T22" s="85" t="s">
        <v>1516</v>
      </c>
      <c r="U22" s="51"/>
      <c r="V22" s="72"/>
      <c r="W22" s="51"/>
      <c r="X22" s="160" t="s">
        <v>1318</v>
      </c>
      <c r="Z22" s="45"/>
      <c r="AA22" s="46"/>
    </row>
    <row r="23" spans="1:27" ht="13.5" customHeight="1" x14ac:dyDescent="0.2">
      <c r="A23" s="1993" t="s">
        <v>2066</v>
      </c>
      <c r="B23" s="1994"/>
      <c r="C23" s="1994"/>
      <c r="D23" s="1994"/>
      <c r="E23" s="1994"/>
      <c r="F23" s="1994"/>
      <c r="G23" s="1994"/>
      <c r="H23" s="1995"/>
      <c r="T23" s="1976" t="s">
        <v>2077</v>
      </c>
      <c r="U23" s="2039"/>
      <c r="V23" s="2039"/>
      <c r="W23" s="2039"/>
      <c r="X23" s="2043">
        <v>44530</v>
      </c>
      <c r="Y23" s="2044"/>
      <c r="Z23" s="2044"/>
      <c r="AA23" s="2045"/>
    </row>
    <row r="24" spans="1:27" ht="14.1" customHeight="1" x14ac:dyDescent="0.2">
      <c r="A24" s="88" t="s">
        <v>677</v>
      </c>
      <c r="B24" s="49"/>
      <c r="C24" s="49"/>
      <c r="D24" s="49"/>
      <c r="E24" s="49"/>
      <c r="F24" s="49"/>
      <c r="G24" s="49"/>
      <c r="H24" s="61"/>
      <c r="J24" s="1963" t="str">
        <f>IF(B5="x",IF(AUDITCHECK!D29="AFR form Incomplete.","",IF(AUDITCHECK!D29="Deficit reduction plan is required.","School District must complete a deficit reduction plan in the 2019-2020 Budget",)),"")</f>
        <v/>
      </c>
      <c r="K24" s="1963"/>
      <c r="L24" s="1963"/>
      <c r="M24" s="1963"/>
      <c r="N24" s="1963"/>
      <c r="O24" s="1963"/>
      <c r="P24" s="1963"/>
      <c r="Q24" s="1963"/>
      <c r="R24" s="1963"/>
      <c r="S24" s="1964"/>
      <c r="T24" s="105" t="s">
        <v>531</v>
      </c>
      <c r="U24" s="106"/>
      <c r="V24" s="106"/>
      <c r="W24" s="106"/>
      <c r="X24" s="107"/>
      <c r="Y24" s="107"/>
      <c r="Z24" s="107"/>
      <c r="AA24" s="108"/>
    </row>
    <row r="25" spans="1:27" ht="14.1" customHeight="1" x14ac:dyDescent="0.2">
      <c r="A25" s="1940">
        <v>61740</v>
      </c>
      <c r="B25" s="1941"/>
      <c r="C25" s="1941"/>
      <c r="D25" s="1941"/>
      <c r="E25" s="1941"/>
      <c r="F25" s="1941"/>
      <c r="G25" s="1941"/>
      <c r="H25" s="1942"/>
      <c r="I25" s="113"/>
      <c r="J25" s="1965"/>
      <c r="K25" s="1965"/>
      <c r="L25" s="1965"/>
      <c r="M25" s="1965"/>
      <c r="N25" s="1965"/>
      <c r="O25" s="1965"/>
      <c r="P25" s="1965"/>
      <c r="Q25" s="1965"/>
      <c r="R25" s="1965"/>
      <c r="S25" s="1966"/>
      <c r="T25" s="2036" t="s">
        <v>2144</v>
      </c>
      <c r="U25" s="2037"/>
      <c r="V25" s="2037"/>
      <c r="W25" s="2037"/>
      <c r="X25" s="2037"/>
      <c r="Y25" s="2037"/>
      <c r="Z25" s="2037"/>
      <c r="AA25" s="203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1" t="s">
        <v>1511</v>
      </c>
      <c r="J27" s="1952"/>
      <c r="K27" s="1952"/>
      <c r="L27" s="1952"/>
      <c r="M27" s="1952"/>
      <c r="N27" s="1952"/>
      <c r="O27" s="1952"/>
      <c r="P27" s="1952"/>
      <c r="Q27" s="1952"/>
      <c r="R27" s="1952"/>
      <c r="S27" s="195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2062</v>
      </c>
      <c r="C29" s="124" t="s">
        <v>820</v>
      </c>
      <c r="D29" s="114"/>
      <c r="E29" s="136"/>
      <c r="F29" s="141" t="s">
        <v>1316</v>
      </c>
      <c r="G29" s="114"/>
      <c r="I29" s="54"/>
      <c r="J29" s="148" t="s">
        <v>2062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2062</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2062</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2"/>
      <c r="Q35" s="1941"/>
      <c r="R35" s="194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6" t="s">
        <v>2067</v>
      </c>
      <c r="B38" s="1977"/>
      <c r="C38" s="1977"/>
      <c r="D38" s="1977"/>
      <c r="E38" s="1977"/>
      <c r="F38" s="1941"/>
      <c r="G38" s="1941"/>
      <c r="H38" s="1942"/>
      <c r="I38" s="1969"/>
      <c r="J38" s="1970"/>
      <c r="K38" s="1970"/>
      <c r="L38" s="1970"/>
      <c r="M38" s="1970"/>
      <c r="N38" s="1970"/>
      <c r="O38" s="1970"/>
      <c r="P38" s="1971"/>
      <c r="Q38" s="1971"/>
      <c r="R38" s="1971"/>
      <c r="S38" s="1972"/>
      <c r="T38" s="2026"/>
      <c r="U38" s="1970"/>
      <c r="V38" s="1970"/>
      <c r="W38" s="1970"/>
      <c r="X38" s="1971"/>
      <c r="Y38" s="1971"/>
      <c r="Z38" s="1971"/>
      <c r="AA38" s="1972"/>
    </row>
    <row r="39" spans="1:27" ht="12" customHeight="1" x14ac:dyDescent="0.2">
      <c r="A39" s="1946" t="s">
        <v>531</v>
      </c>
      <c r="B39" s="1947"/>
      <c r="C39" s="72"/>
      <c r="D39" s="69"/>
      <c r="E39" s="69"/>
      <c r="F39" s="79"/>
      <c r="G39" s="69"/>
      <c r="H39" s="56"/>
      <c r="I39" s="1946" t="s">
        <v>531</v>
      </c>
      <c r="J39" s="1947"/>
      <c r="K39" s="1947"/>
      <c r="L39" s="1947"/>
      <c r="M39" s="1947"/>
      <c r="N39" s="67"/>
      <c r="O39" s="72"/>
      <c r="P39" s="72"/>
      <c r="Q39" s="78"/>
      <c r="R39" s="72"/>
      <c r="S39" s="56"/>
      <c r="T39" s="72" t="s">
        <v>531</v>
      </c>
      <c r="U39" s="51"/>
      <c r="V39" s="72"/>
      <c r="W39" s="50"/>
      <c r="X39" s="78"/>
      <c r="Y39" s="45"/>
      <c r="Z39" s="45"/>
      <c r="AA39" s="46"/>
    </row>
    <row r="40" spans="1:27" ht="13.5" customHeight="1" x14ac:dyDescent="0.2">
      <c r="A40" s="1954" t="s">
        <v>2066</v>
      </c>
      <c r="B40" s="1955"/>
      <c r="C40" s="1956"/>
      <c r="D40" s="1956"/>
      <c r="E40" s="1956"/>
      <c r="F40" s="1957"/>
      <c r="G40" s="1957"/>
      <c r="H40" s="1958"/>
      <c r="I40" s="1979"/>
      <c r="J40" s="1980"/>
      <c r="K40" s="1980"/>
      <c r="L40" s="1980"/>
      <c r="M40" s="1980"/>
      <c r="N40" s="1980"/>
      <c r="O40" s="1980"/>
      <c r="P40" s="1980"/>
      <c r="Q40" s="1980"/>
      <c r="R40" s="1980"/>
      <c r="S40" s="1981"/>
      <c r="T40" s="1979"/>
      <c r="U40" s="2042"/>
      <c r="V40" s="1980"/>
      <c r="W40" s="1980"/>
      <c r="X40" s="1980"/>
      <c r="Y40" s="1980"/>
      <c r="Z40" s="1980"/>
      <c r="AA40" s="198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8" t="s">
        <v>2068</v>
      </c>
      <c r="B42" s="1960"/>
      <c r="C42" s="1961"/>
      <c r="D42" s="1959" t="s">
        <v>2069</v>
      </c>
      <c r="E42" s="1960"/>
      <c r="F42" s="1960"/>
      <c r="G42" s="1960"/>
      <c r="H42" s="1961"/>
      <c r="I42" s="1943"/>
      <c r="J42" s="1944"/>
      <c r="K42" s="1944"/>
      <c r="L42" s="1944"/>
      <c r="M42" s="1944"/>
      <c r="N42" s="1944"/>
      <c r="O42" s="1945"/>
      <c r="P42" s="1978"/>
      <c r="Q42" s="1944"/>
      <c r="R42" s="1944"/>
      <c r="S42" s="1945"/>
      <c r="T42" s="1943"/>
      <c r="U42" s="1944"/>
      <c r="V42" s="1944"/>
      <c r="W42" s="1945"/>
      <c r="X42" s="1978"/>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3"/>
      <c r="B44" s="1974"/>
      <c r="C44" s="1974"/>
      <c r="D44" s="1974"/>
      <c r="E44" s="1974"/>
      <c r="F44" s="1974"/>
      <c r="G44" s="1974"/>
      <c r="H44" s="1975"/>
      <c r="I44" s="1948"/>
      <c r="J44" s="1949"/>
      <c r="K44" s="1949"/>
      <c r="L44" s="1949"/>
      <c r="M44" s="1949"/>
      <c r="N44" s="1949"/>
      <c r="O44" s="1949"/>
      <c r="P44" s="1949"/>
      <c r="Q44" s="1949"/>
      <c r="R44" s="1949"/>
      <c r="S44" s="1950"/>
      <c r="T44" s="1948"/>
      <c r="U44" s="1967"/>
      <c r="V44" s="1967"/>
      <c r="W44" s="1967"/>
      <c r="X44" s="1967"/>
      <c r="Y44" s="1967"/>
      <c r="Z44" s="1949"/>
      <c r="AA44" s="195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B16" sqref="B1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6" t="s">
        <v>1611</v>
      </c>
    </row>
    <row r="23" spans="1:5" x14ac:dyDescent="0.2">
      <c r="A23" s="168"/>
      <c r="B23" s="162" t="s">
        <v>1854</v>
      </c>
      <c r="D23" s="167" t="s">
        <v>637</v>
      </c>
      <c r="E23" s="1836"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2" colorId="8" zoomScale="110" zoomScaleNormal="110" workbookViewId="0">
      <selection activeCell="G94" sqref="G9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2062</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2062</v>
      </c>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t="s">
        <v>2101</v>
      </c>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8"/>
      <c r="J77" s="261">
        <v>43646</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1903</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0" colorId="8" zoomScale="110" zoomScaleNormal="110" workbookViewId="0">
      <selection activeCell="B33" sqref="B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4844955</v>
      </c>
      <c r="E16" s="356"/>
      <c r="F16" s="1733">
        <f>SUM('Acct Summary 7-8'!C17,'Acct Summary 7-8'!D17,'Acct Summary 7-8'!F17)</f>
        <v>5173590</v>
      </c>
      <c r="G16" s="356"/>
      <c r="H16" s="1733">
        <f>SUM(D16-F16)</f>
        <v>-328635</v>
      </c>
      <c r="I16" s="222"/>
      <c r="J16" s="1733">
        <f>SUM('Acct Summary 7-8'!C81,'Acct Summary 7-8'!D81,'Acct Summary 7-8'!F81,'Acct Summary 7-8'!I81)</f>
        <v>441391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50000</v>
      </c>
      <c r="E24" s="356" t="s">
        <v>1006</v>
      </c>
      <c r="F24" s="1734">
        <f>SUM(D22,F22,H22,J22,L22, D24)</f>
        <v>50000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0</v>
      </c>
      <c r="I31" s="368"/>
      <c r="J31" s="222"/>
      <c r="K31" s="222"/>
      <c r="L31" s="222"/>
      <c r="M31" s="222"/>
    </row>
    <row r="32" spans="1:13" ht="13.35" customHeight="1" x14ac:dyDescent="0.2">
      <c r="B32" s="369" t="s">
        <v>2062</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19" zoomScale="110" zoomScaleNormal="110" workbookViewId="0">
      <selection activeCell="H29" sqref="H2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Livingston Co Spec Services Unit</v>
      </c>
      <c r="E7" s="391"/>
      <c r="G7" s="252"/>
      <c r="H7" s="387"/>
      <c r="I7" s="387"/>
      <c r="J7" s="387"/>
      <c r="K7" s="387"/>
      <c r="L7" s="329"/>
      <c r="M7" s="329"/>
      <c r="N7" s="329"/>
      <c r="O7" s="329"/>
      <c r="P7" s="329"/>
    </row>
    <row r="8" spans="1:18" ht="12.75" x14ac:dyDescent="0.2">
      <c r="A8" s="329"/>
      <c r="B8" s="329"/>
      <c r="C8" s="389" t="s">
        <v>1125</v>
      </c>
      <c r="D8" s="392">
        <f>COVER!A13</f>
        <v>17053000061</v>
      </c>
      <c r="E8" s="393"/>
      <c r="G8" s="329"/>
      <c r="H8" s="329"/>
      <c r="I8" s="329"/>
      <c r="J8" s="329"/>
      <c r="K8" s="329"/>
      <c r="L8" s="329"/>
      <c r="M8" s="329"/>
      <c r="N8" s="329"/>
      <c r="O8" s="329"/>
      <c r="P8" s="329"/>
    </row>
    <row r="9" spans="1:18" ht="12.75" x14ac:dyDescent="0.2">
      <c r="A9" s="329"/>
      <c r="B9" s="329"/>
      <c r="C9" s="389" t="s">
        <v>713</v>
      </c>
      <c r="D9" s="394" t="str">
        <f>COVER!A15</f>
        <v>Livingston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2</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441391</v>
      </c>
      <c r="I12" s="404"/>
      <c r="J12" s="404"/>
      <c r="K12" s="405">
        <f>TRUNC((H12/H13*100000),5)/100000</f>
        <v>9.1103219700000015E-2</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4844955</v>
      </c>
      <c r="I13" s="404"/>
      <c r="J13" s="404"/>
      <c r="K13" s="410"/>
      <c r="L13" s="218"/>
      <c r="M13" s="360" t="s">
        <v>1145</v>
      </c>
      <c r="N13" s="360"/>
      <c r="O13" s="411">
        <f>(O11*O12)</f>
        <v>0.7</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5173590</v>
      </c>
      <c r="I17" s="404"/>
      <c r="J17" s="416"/>
      <c r="K17" s="405">
        <f>TRUNC((H17/H18*100000),5)/100000</f>
        <v>1.0678303513</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4844955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-0.13116220000000001</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f>IF(K24&gt;=180,"4",IF(K24&gt;=90,"3",IF(K24&gt;=30,"2",1)))</f>
        <v>1</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315881</v>
      </c>
      <c r="I24" s="422"/>
      <c r="J24" s="422"/>
      <c r="K24" s="423">
        <f>TRUNC(((H24/H25*100000)/100000),2)</f>
        <v>21.98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14371.083329999999</v>
      </c>
      <c r="I25" s="425"/>
      <c r="J25" s="425"/>
      <c r="K25" s="410"/>
      <c r="L25" s="218"/>
      <c r="M25" s="360" t="s">
        <v>1145</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#DIV/0!</v>
      </c>
      <c r="P31" s="216"/>
    </row>
    <row r="32" spans="1:18" s="408" customFormat="1" ht="11.25" x14ac:dyDescent="0.2">
      <c r="A32" s="218"/>
      <c r="B32" s="401"/>
      <c r="C32" s="218" t="s">
        <v>847</v>
      </c>
      <c r="D32" s="218"/>
      <c r="E32" s="218"/>
      <c r="F32" s="218"/>
      <c r="G32" s="402"/>
      <c r="H32" s="403">
        <f>'FP Info 3'!H37</f>
        <v>0</v>
      </c>
      <c r="I32" s="420"/>
      <c r="J32" s="420"/>
      <c r="K32" s="423" t="e">
        <f>TRUNC(100-((((H32/H33*100))*100)/100),2)</f>
        <v>#DIV/0!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0</v>
      </c>
      <c r="I33" s="420"/>
      <c r="J33" s="420"/>
      <c r="K33" s="403"/>
      <c r="L33" s="218"/>
      <c r="M33" s="435" t="s">
        <v>1145</v>
      </c>
      <c r="N33" s="435"/>
      <c r="O33" s="434" t="e">
        <f>(O31*O32)</f>
        <v>#DIV/0!</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0" activePane="bottomLeft" state="frozen"/>
      <selection pane="bottomLeft" activeCell="C27" sqref="C2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v>158755</v>
      </c>
      <c r="D4" s="466"/>
      <c r="E4" s="466"/>
      <c r="F4" s="466"/>
      <c r="G4" s="466"/>
      <c r="H4" s="466"/>
      <c r="I4" s="466"/>
      <c r="J4" s="467"/>
      <c r="K4" s="466"/>
      <c r="L4" s="466"/>
      <c r="M4" s="468"/>
      <c r="N4" s="469"/>
    </row>
    <row r="5" spans="1:14" x14ac:dyDescent="0.2">
      <c r="A5" s="463" t="s">
        <v>992</v>
      </c>
      <c r="B5" s="470">
        <v>120</v>
      </c>
      <c r="C5" s="465">
        <v>157126</v>
      </c>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v>49531</v>
      </c>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v>447704</v>
      </c>
      <c r="D9" s="467"/>
      <c r="E9" s="467"/>
      <c r="F9" s="467"/>
      <c r="G9" s="467"/>
      <c r="H9" s="478">
        <v>557405</v>
      </c>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763585</v>
      </c>
      <c r="D13" s="1737">
        <f t="shared" ref="D13:L13" si="0">SUM(D4:D12)</f>
        <v>0</v>
      </c>
      <c r="E13" s="1737">
        <f t="shared" si="0"/>
        <v>0</v>
      </c>
      <c r="F13" s="1737">
        <f t="shared" si="0"/>
        <v>0</v>
      </c>
      <c r="G13" s="1737">
        <f t="shared" si="0"/>
        <v>0</v>
      </c>
      <c r="H13" s="1737">
        <f t="shared" si="0"/>
        <v>606936</v>
      </c>
      <c r="I13" s="1737">
        <f t="shared" si="0"/>
        <v>0</v>
      </c>
      <c r="J13" s="1737">
        <f t="shared" si="0"/>
        <v>0</v>
      </c>
      <c r="K13" s="1737">
        <f t="shared" si="0"/>
        <v>0</v>
      </c>
      <c r="L13" s="1737">
        <f t="shared" si="0"/>
        <v>0</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0</v>
      </c>
      <c r="N23" s="1688">
        <f>SUM(N21:N22)</f>
        <v>0</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v>49531</v>
      </c>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50000</v>
      </c>
      <c r="D27" s="467"/>
      <c r="E27" s="467"/>
      <c r="F27" s="467"/>
      <c r="G27" s="467"/>
      <c r="H27" s="467">
        <v>52256</v>
      </c>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v>222663</v>
      </c>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322194</v>
      </c>
      <c r="D34" s="1740">
        <f t="shared" ref="D34:K34" si="1">SUM(D25:D33)</f>
        <v>0</v>
      </c>
      <c r="E34" s="1740">
        <f t="shared" si="1"/>
        <v>0</v>
      </c>
      <c r="F34" s="1740">
        <f t="shared" si="1"/>
        <v>0</v>
      </c>
      <c r="G34" s="1740">
        <f t="shared" si="1"/>
        <v>0</v>
      </c>
      <c r="H34" s="1740">
        <f t="shared" si="1"/>
        <v>52256</v>
      </c>
      <c r="I34" s="1740">
        <f t="shared" si="1"/>
        <v>0</v>
      </c>
      <c r="J34" s="1740">
        <f t="shared" si="1"/>
        <v>0</v>
      </c>
      <c r="K34" s="1740">
        <f t="shared" si="1"/>
        <v>0</v>
      </c>
      <c r="L34" s="1721">
        <f>SUM(L33)</f>
        <v>0</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441391</v>
      </c>
      <c r="D39" s="466"/>
      <c r="E39" s="466"/>
      <c r="F39" s="466"/>
      <c r="G39" s="466"/>
      <c r="H39" s="466">
        <v>554680</v>
      </c>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c r="N40" s="497"/>
    </row>
    <row r="41" spans="1:14" ht="13.5" customHeight="1" thickBot="1" x14ac:dyDescent="0.25">
      <c r="A41" s="1736" t="s">
        <v>655</v>
      </c>
      <c r="B41" s="1706"/>
      <c r="C41" s="1688">
        <f>(SUM(C34,C37,C38,C39))</f>
        <v>763585</v>
      </c>
      <c r="D41" s="1688">
        <f t="shared" ref="D41:L41" si="2">SUM(D34,D37,D38:D39)</f>
        <v>0</v>
      </c>
      <c r="E41" s="1688">
        <f t="shared" si="2"/>
        <v>0</v>
      </c>
      <c r="F41" s="1688">
        <f t="shared" si="2"/>
        <v>0</v>
      </c>
      <c r="G41" s="1688">
        <f t="shared" si="2"/>
        <v>0</v>
      </c>
      <c r="H41" s="1688">
        <f t="shared" si="2"/>
        <v>606936</v>
      </c>
      <c r="I41" s="1688">
        <f t="shared" si="2"/>
        <v>0</v>
      </c>
      <c r="J41" s="1688">
        <f t="shared" si="2"/>
        <v>0</v>
      </c>
      <c r="K41" s="1688">
        <f t="shared" si="2"/>
        <v>0</v>
      </c>
      <c r="L41" s="1688">
        <f t="shared" si="2"/>
        <v>0</v>
      </c>
      <c r="M41" s="1688">
        <f>SUM(M40)</f>
        <v>0</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pane="bottomLeft" activeCell="H4" sqref="H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8" t="s">
        <v>1499</v>
      </c>
      <c r="B4" s="1929">
        <v>1000</v>
      </c>
      <c r="C4" s="1742">
        <f>'Revenues 9-14'!C109</f>
        <v>2896532</v>
      </c>
      <c r="D4" s="1742">
        <f>'Revenues 9-14'!D109</f>
        <v>0</v>
      </c>
      <c r="E4" s="1742">
        <f>'Revenues 9-14'!E109</f>
        <v>0</v>
      </c>
      <c r="F4" s="1742">
        <f>'Revenues 9-14'!F109</f>
        <v>0</v>
      </c>
      <c r="G4" s="1742">
        <f>'Revenues 9-14'!G109</f>
        <v>0</v>
      </c>
      <c r="H4" s="1742">
        <f>'Revenues 9-14'!H109</f>
        <v>1000000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361048</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1587375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4844955</v>
      </c>
      <c r="D8" s="1688">
        <f t="shared" ref="D8:K8" si="0">SUM(D4:D7)</f>
        <v>0</v>
      </c>
      <c r="E8" s="1688">
        <f t="shared" si="0"/>
        <v>0</v>
      </c>
      <c r="F8" s="1688">
        <f t="shared" si="0"/>
        <v>0</v>
      </c>
      <c r="G8" s="1688">
        <f t="shared" si="0"/>
        <v>0</v>
      </c>
      <c r="H8" s="1688">
        <f t="shared" si="0"/>
        <v>1000000</v>
      </c>
      <c r="I8" s="1688">
        <f t="shared" si="0"/>
        <v>0</v>
      </c>
      <c r="J8" s="1688">
        <f t="shared" si="0"/>
        <v>0</v>
      </c>
      <c r="K8" s="1688">
        <f t="shared" si="0"/>
        <v>0</v>
      </c>
      <c r="L8" s="347"/>
    </row>
    <row r="9" spans="1:13" ht="15.75" thickTop="1" x14ac:dyDescent="0.2">
      <c r="A9" s="514" t="s">
        <v>1653</v>
      </c>
      <c r="B9" s="515">
        <v>3998</v>
      </c>
      <c r="C9" s="481">
        <v>30604</v>
      </c>
      <c r="D9" s="516"/>
      <c r="E9" s="481"/>
      <c r="F9" s="481"/>
      <c r="G9" s="517"/>
      <c r="H9" s="481"/>
      <c r="I9" s="509" t="s">
        <v>1169</v>
      </c>
      <c r="J9" s="478"/>
      <c r="K9" s="481"/>
      <c r="L9" s="347"/>
    </row>
    <row r="10" spans="1:13" s="519" customFormat="1" ht="13.5" thickBot="1" x14ac:dyDescent="0.25">
      <c r="A10" s="1736" t="s">
        <v>1173</v>
      </c>
      <c r="B10" s="1709"/>
      <c r="C10" s="1688">
        <f>SUM(C8:C9)</f>
        <v>4875559</v>
      </c>
      <c r="D10" s="1688">
        <f t="shared" ref="D10:K10" si="1">SUM(D8:D9)</f>
        <v>0</v>
      </c>
      <c r="E10" s="1688">
        <f t="shared" si="1"/>
        <v>0</v>
      </c>
      <c r="F10" s="1688">
        <f t="shared" si="1"/>
        <v>0</v>
      </c>
      <c r="G10" s="1688">
        <f t="shared" si="1"/>
        <v>0</v>
      </c>
      <c r="H10" s="1688">
        <f t="shared" si="1"/>
        <v>1000000</v>
      </c>
      <c r="I10" s="1688">
        <f t="shared" si="1"/>
        <v>0</v>
      </c>
      <c r="J10" s="1688">
        <f t="shared" si="1"/>
        <v>0</v>
      </c>
      <c r="K10" s="1688">
        <f t="shared" si="1"/>
        <v>0</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2">
        <f>'Expenditures 15-22'!K33</f>
        <v>1184881</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3677004</v>
      </c>
      <c r="D13" s="1743">
        <f>'Expenditures 15-22'!K129</f>
        <v>0</v>
      </c>
      <c r="E13" s="469" t="s">
        <v>1169</v>
      </c>
      <c r="F13" s="1743">
        <f>'Expenditures 15-22'!K184</f>
        <v>0</v>
      </c>
      <c r="G13" s="1743">
        <f>'Expenditures 15-22'!K279</f>
        <v>0</v>
      </c>
      <c r="H13" s="1743">
        <f>'Expenditures 15-22'!K303</f>
        <v>445320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311705</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5173590</v>
      </c>
      <c r="D17" s="1688">
        <f t="shared" si="2"/>
        <v>0</v>
      </c>
      <c r="E17" s="1688">
        <f t="shared" si="2"/>
        <v>0</v>
      </c>
      <c r="F17" s="1688">
        <f t="shared" si="2"/>
        <v>0</v>
      </c>
      <c r="G17" s="1688">
        <f t="shared" si="2"/>
        <v>0</v>
      </c>
      <c r="H17" s="1688">
        <f t="shared" si="2"/>
        <v>445320</v>
      </c>
      <c r="I17" s="468"/>
      <c r="J17" s="1688">
        <f>SUM(J12:J16)</f>
        <v>0</v>
      </c>
      <c r="K17" s="1688">
        <f>SUM(K12:K16)</f>
        <v>0</v>
      </c>
      <c r="L17" s="347"/>
    </row>
    <row r="18" spans="1:12" ht="15" customHeight="1" thickTop="1" x14ac:dyDescent="0.2">
      <c r="A18" s="1744" t="s">
        <v>1654</v>
      </c>
      <c r="B18" s="1745">
        <v>4180</v>
      </c>
      <c r="C18" s="1742">
        <f t="shared" ref="C18:H18" si="3">C9</f>
        <v>30604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5204194</v>
      </c>
      <c r="D19" s="1688">
        <f t="shared" si="4"/>
        <v>0</v>
      </c>
      <c r="E19" s="1688">
        <f t="shared" si="4"/>
        <v>0</v>
      </c>
      <c r="F19" s="1688">
        <f t="shared" si="4"/>
        <v>0</v>
      </c>
      <c r="G19" s="1688">
        <f t="shared" si="4"/>
        <v>0</v>
      </c>
      <c r="H19" s="1688">
        <f t="shared" si="4"/>
        <v>445320</v>
      </c>
      <c r="I19" s="468"/>
      <c r="J19" s="1688">
        <f>SUM(J17:J18)</f>
        <v>0</v>
      </c>
      <c r="K19" s="1688">
        <f>SUM(K17:K18)</f>
        <v>0</v>
      </c>
      <c r="L19" s="347"/>
    </row>
    <row r="20" spans="1:12" ht="16.5" thickTop="1" thickBot="1" x14ac:dyDescent="0.25">
      <c r="A20" s="2125" t="s">
        <v>1655</v>
      </c>
      <c r="B20" s="2126"/>
      <c r="C20" s="1746">
        <f>C8-C17</f>
        <v>-328635</v>
      </c>
      <c r="D20" s="1746">
        <f t="shared" ref="D20:K20" si="5">D8-D17</f>
        <v>0</v>
      </c>
      <c r="E20" s="1746">
        <f t="shared" si="5"/>
        <v>0</v>
      </c>
      <c r="F20" s="1746">
        <f t="shared" si="5"/>
        <v>0</v>
      </c>
      <c r="G20" s="1746">
        <f t="shared" si="5"/>
        <v>0</v>
      </c>
      <c r="H20" s="1746">
        <f t="shared" si="5"/>
        <v>554680</v>
      </c>
      <c r="I20" s="1746">
        <f t="shared" si="5"/>
        <v>0</v>
      </c>
      <c r="J20" s="1746">
        <f t="shared" si="5"/>
        <v>0</v>
      </c>
      <c r="K20" s="1746">
        <f t="shared" si="5"/>
        <v>0</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1792</v>
      </c>
      <c r="B30" s="527">
        <v>7160</v>
      </c>
      <c r="C30" s="477"/>
      <c r="D30" s="467"/>
      <c r="E30" s="477"/>
      <c r="F30" s="477"/>
      <c r="G30" s="477"/>
      <c r="H30" s="477"/>
      <c r="I30" s="477"/>
      <c r="J30" s="477"/>
      <c r="K30" s="477"/>
      <c r="L30" s="524"/>
    </row>
    <row r="31" spans="1:12" s="485" customFormat="1" ht="26.25" x14ac:dyDescent="0.2">
      <c r="A31" s="1489" t="s">
        <v>1796</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5" t="s">
        <v>440</v>
      </c>
      <c r="B76" s="2116"/>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7" t="s">
        <v>1177</v>
      </c>
      <c r="B77" s="2118"/>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1" t="s">
        <v>597</v>
      </c>
      <c r="B78" s="2122"/>
      <c r="C78" s="1702">
        <f t="shared" ref="C78:K78" si="9">C20+C77</f>
        <v>-328635</v>
      </c>
      <c r="D78" s="1702">
        <f t="shared" si="9"/>
        <v>0</v>
      </c>
      <c r="E78" s="1702">
        <f t="shared" si="9"/>
        <v>0</v>
      </c>
      <c r="F78" s="1702">
        <f t="shared" si="9"/>
        <v>0</v>
      </c>
      <c r="G78" s="1702">
        <f t="shared" si="9"/>
        <v>0</v>
      </c>
      <c r="H78" s="1702">
        <f t="shared" si="9"/>
        <v>554680</v>
      </c>
      <c r="I78" s="1702">
        <f t="shared" si="9"/>
        <v>0</v>
      </c>
      <c r="J78" s="1702">
        <f t="shared" si="9"/>
        <v>0</v>
      </c>
      <c r="K78" s="1702">
        <f t="shared" si="9"/>
        <v>0</v>
      </c>
      <c r="L78" s="533"/>
    </row>
    <row r="79" spans="1:12" ht="13.5" thickTop="1" x14ac:dyDescent="0.2">
      <c r="A79" s="1494" t="s">
        <v>1946</v>
      </c>
      <c r="B79" s="534"/>
      <c r="C79" s="478">
        <v>770026</v>
      </c>
      <c r="D79" s="535"/>
      <c r="E79" s="535"/>
      <c r="F79" s="535"/>
      <c r="G79" s="535"/>
      <c r="H79" s="535">
        <v>0</v>
      </c>
      <c r="I79" s="535"/>
      <c r="J79" s="535"/>
      <c r="K79" s="535"/>
      <c r="L79" s="347"/>
    </row>
    <row r="80" spans="1:12" x14ac:dyDescent="0.2">
      <c r="A80" s="2127" t="s">
        <v>1793</v>
      </c>
      <c r="B80" s="2128"/>
      <c r="C80" s="467"/>
      <c r="D80" s="467"/>
      <c r="E80" s="467"/>
      <c r="F80" s="467"/>
      <c r="G80" s="467"/>
      <c r="H80" s="467"/>
      <c r="I80" s="467"/>
      <c r="J80" s="467"/>
      <c r="K80" s="467"/>
      <c r="L80" s="347"/>
    </row>
    <row r="81" spans="1:12" ht="13.5" thickBot="1" x14ac:dyDescent="0.25">
      <c r="A81" s="2119" t="s">
        <v>1947</v>
      </c>
      <c r="B81" s="2120"/>
      <c r="C81" s="1688">
        <f>(SUM(C78:C80))</f>
        <v>441391</v>
      </c>
      <c r="D81" s="1688">
        <f>SUM(D78:D80)</f>
        <v>0</v>
      </c>
      <c r="E81" s="1688">
        <f t="shared" ref="E81:K81" si="10">SUM(E78:E80)</f>
        <v>0</v>
      </c>
      <c r="F81" s="1688">
        <f t="shared" si="10"/>
        <v>0</v>
      </c>
      <c r="G81" s="1688">
        <f t="shared" si="10"/>
        <v>0</v>
      </c>
      <c r="H81" s="1688">
        <f t="shared" si="10"/>
        <v>554680</v>
      </c>
      <c r="I81" s="1688">
        <f t="shared" si="10"/>
        <v>0</v>
      </c>
      <c r="J81" s="1688">
        <f t="shared" si="10"/>
        <v>0</v>
      </c>
      <c r="K81" s="1688">
        <f t="shared" si="10"/>
        <v>0</v>
      </c>
      <c r="L81" s="347"/>
    </row>
    <row r="82" spans="1:12" ht="0.75" customHeight="1" thickTop="1" thickBot="1" x14ac:dyDescent="0.25">
      <c r="A82" s="536" t="s">
        <v>343</v>
      </c>
      <c r="B82" s="537"/>
      <c r="C82" s="538">
        <f>(C81-C79)</f>
        <v>-328635</v>
      </c>
      <c r="D82" s="538">
        <f t="shared" ref="D82:K82" si="11">(D81-D79)</f>
        <v>0</v>
      </c>
      <c r="E82" s="538">
        <f t="shared" si="11"/>
        <v>0</v>
      </c>
      <c r="F82" s="538">
        <f t="shared" si="11"/>
        <v>0</v>
      </c>
      <c r="G82" s="538">
        <f t="shared" si="11"/>
        <v>0</v>
      </c>
      <c r="H82" s="538">
        <f t="shared" si="11"/>
        <v>554680</v>
      </c>
      <c r="I82" s="538">
        <f t="shared" si="11"/>
        <v>0</v>
      </c>
      <c r="J82" s="538">
        <f t="shared" si="11"/>
        <v>0</v>
      </c>
      <c r="K82" s="538">
        <f t="shared" si="11"/>
        <v>0</v>
      </c>
    </row>
    <row r="83" spans="1:12" ht="14.25" hidden="1" thickTop="1" thickBot="1" x14ac:dyDescent="0.25">
      <c r="A83" s="539" t="s">
        <v>344</v>
      </c>
      <c r="B83" s="464"/>
      <c r="C83" s="540">
        <f>C82/C81</f>
        <v>-0.74454395309374233</v>
      </c>
      <c r="D83" s="540" t="e">
        <f t="shared" ref="D83:K83" si="12">D82/D81</f>
        <v>#DIV/0!</v>
      </c>
      <c r="E83" s="540" t="e">
        <f t="shared" si="12"/>
        <v>#DIV/0!</v>
      </c>
      <c r="F83" s="540" t="e">
        <f t="shared" si="12"/>
        <v>#DIV/0!</v>
      </c>
      <c r="G83" s="540" t="e">
        <f t="shared" si="12"/>
        <v>#DIV/0!</v>
      </c>
      <c r="H83" s="540">
        <f t="shared" si="12"/>
        <v>1</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pane="bottomLeft" activeCell="C33" sqref="C3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1800</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410160</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410160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1212</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1212</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2211</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2211</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1650</v>
      </c>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v>1000000</v>
      </c>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2462549</v>
      </c>
      <c r="D106" s="489"/>
      <c r="E106" s="467"/>
      <c r="F106" s="467"/>
      <c r="G106" s="467"/>
      <c r="H106" s="467"/>
      <c r="I106" s="521"/>
      <c r="J106" s="467"/>
      <c r="K106" s="467"/>
    </row>
    <row r="107" spans="1:12" ht="12.75" customHeight="1" x14ac:dyDescent="0.2">
      <c r="A107" s="463" t="s">
        <v>78</v>
      </c>
      <c r="B107" s="470">
        <v>1999</v>
      </c>
      <c r="C107" s="551">
        <v>18750</v>
      </c>
      <c r="D107" s="466"/>
      <c r="E107" s="466"/>
      <c r="F107" s="466"/>
      <c r="G107" s="466"/>
      <c r="H107" s="466"/>
      <c r="I107" s="466"/>
      <c r="J107" s="467"/>
      <c r="K107" s="466"/>
    </row>
    <row r="108" spans="1:12" ht="12.75" customHeight="1" thickBot="1" x14ac:dyDescent="0.25">
      <c r="A108" s="1708" t="s">
        <v>487</v>
      </c>
      <c r="B108" s="1712"/>
      <c r="C108" s="1707">
        <f>SUM(C95:C107)</f>
        <v>2482949</v>
      </c>
      <c r="D108" s="1707">
        <f t="shared" ref="D108:K108" si="3">SUM(D95:D107)</f>
        <v>0</v>
      </c>
      <c r="E108" s="1707">
        <f t="shared" si="3"/>
        <v>0</v>
      </c>
      <c r="F108" s="1707">
        <f t="shared" si="3"/>
        <v>0</v>
      </c>
      <c r="G108" s="1707">
        <f t="shared" si="3"/>
        <v>0</v>
      </c>
      <c r="H108" s="1707">
        <f t="shared" si="3"/>
        <v>1000000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2896532</v>
      </c>
      <c r="D109" s="1715">
        <f t="shared" si="4"/>
        <v>0</v>
      </c>
      <c r="E109" s="1715">
        <f t="shared" si="4"/>
        <v>0</v>
      </c>
      <c r="F109" s="1715">
        <f t="shared" si="4"/>
        <v>0</v>
      </c>
      <c r="G109" s="1715">
        <f t="shared" si="4"/>
        <v>0</v>
      </c>
      <c r="H109" s="1715">
        <f t="shared" si="4"/>
        <v>1000000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360614</v>
      </c>
      <c r="D117" s="481"/>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30" t="s">
        <v>1933</v>
      </c>
      <c r="B120" s="562">
        <v>3030</v>
      </c>
      <c r="C120" s="551"/>
      <c r="D120" s="466"/>
      <c r="E120" s="466"/>
      <c r="F120" s="466"/>
      <c r="G120" s="466"/>
      <c r="H120" s="466"/>
      <c r="I120" s="468"/>
      <c r="J120" s="467"/>
      <c r="K120" s="466"/>
    </row>
    <row r="121" spans="1:11" x14ac:dyDescent="0.2">
      <c r="A121" s="1496" t="s">
        <v>1799</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360614</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434</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3" t="s">
        <v>398</v>
      </c>
      <c r="B169" s="2144"/>
      <c r="C169" s="1722">
        <f t="shared" ref="C169:K169" si="6">SUM(C132,C141,C145,C146:C150,C155,C156:C167,C168)</f>
        <v>434</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361048</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1" t="s">
        <v>785</v>
      </c>
      <c r="B181" s="215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7" t="s">
        <v>1801</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12701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7472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20173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67808</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1310628</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1378436</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1934</v>
      </c>
      <c r="B261" s="470">
        <v>4981</v>
      </c>
      <c r="C261" s="575"/>
      <c r="D261" s="576"/>
      <c r="E261" s="468"/>
      <c r="F261" s="576"/>
      <c r="G261" s="576"/>
      <c r="H261" s="468"/>
      <c r="I261" s="468"/>
      <c r="J261" s="468"/>
      <c r="K261" s="468"/>
    </row>
    <row r="262" spans="1:11" ht="12.75" customHeight="1" thickTop="1" thickBot="1" x14ac:dyDescent="0.25">
      <c r="A262" s="1931"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63821</v>
      </c>
      <c r="D263" s="576"/>
      <c r="E263" s="468"/>
      <c r="F263" s="576"/>
      <c r="G263" s="576"/>
      <c r="H263" s="468"/>
      <c r="I263" s="468"/>
      <c r="J263" s="468"/>
      <c r="K263" s="468"/>
    </row>
    <row r="264" spans="1:11" ht="12.75" customHeight="1" thickTop="1" thickBot="1" x14ac:dyDescent="0.25">
      <c r="A264" s="463" t="s">
        <v>377</v>
      </c>
      <c r="B264" s="470">
        <v>4992</v>
      </c>
      <c r="C264" s="575">
        <v>57703</v>
      </c>
      <c r="D264" s="576"/>
      <c r="E264" s="468"/>
      <c r="F264" s="576"/>
      <c r="G264" s="576"/>
      <c r="H264" s="468"/>
      <c r="I264" s="468"/>
      <c r="J264" s="468"/>
      <c r="K264" s="468"/>
    </row>
    <row r="265" spans="1:11" s="593" customFormat="1" ht="12.75" customHeight="1" thickTop="1" thickBot="1" x14ac:dyDescent="0.25">
      <c r="A265" s="563" t="s">
        <v>75</v>
      </c>
      <c r="B265" s="557">
        <v>4999</v>
      </c>
      <c r="C265" s="575">
        <v>67242</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1587375</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1587375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4844955</v>
      </c>
      <c r="D268" s="1715">
        <f t="shared" si="12"/>
        <v>0</v>
      </c>
      <c r="E268" s="1715">
        <f t="shared" si="12"/>
        <v>0</v>
      </c>
      <c r="F268" s="1715">
        <f t="shared" si="12"/>
        <v>0</v>
      </c>
      <c r="G268" s="1715">
        <f t="shared" si="12"/>
        <v>0</v>
      </c>
      <c r="H268" s="1715">
        <f t="shared" si="12"/>
        <v>1000000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3" activePane="bottomLeft" state="frozen"/>
      <selection pane="bottomLeft" activeCell="L71" sqref="L7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3" t="s">
        <v>297</v>
      </c>
      <c r="B3" s="216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713445</v>
      </c>
      <c r="D8" s="466">
        <v>205336</v>
      </c>
      <c r="E8" s="466">
        <v>115</v>
      </c>
      <c r="F8" s="466">
        <v>20661</v>
      </c>
      <c r="G8" s="466">
        <v>8428</v>
      </c>
      <c r="H8" s="466">
        <v>16577</v>
      </c>
      <c r="I8" s="467"/>
      <c r="J8" s="467"/>
      <c r="K8" s="1671">
        <f t="shared" si="0"/>
        <v>964562</v>
      </c>
      <c r="L8" s="466">
        <v>1075891</v>
      </c>
    </row>
    <row r="9" spans="1:14" x14ac:dyDescent="0.2">
      <c r="A9" s="1504" t="s">
        <v>721</v>
      </c>
      <c r="B9" s="614" t="s">
        <v>968</v>
      </c>
      <c r="C9" s="467">
        <v>46416</v>
      </c>
      <c r="D9" s="467">
        <v>15060</v>
      </c>
      <c r="E9" s="467">
        <v>355</v>
      </c>
      <c r="F9" s="467"/>
      <c r="G9" s="467"/>
      <c r="H9" s="467"/>
      <c r="I9" s="467"/>
      <c r="J9" s="467"/>
      <c r="K9" s="1671">
        <f t="shared" si="0"/>
        <v>61831</v>
      </c>
      <c r="L9" s="466">
        <v>69072</v>
      </c>
    </row>
    <row r="10" spans="1:14" x14ac:dyDescent="0.2">
      <c r="A10" s="1504" t="s">
        <v>722</v>
      </c>
      <c r="B10" s="614">
        <v>1250</v>
      </c>
      <c r="C10" s="466">
        <v>135198</v>
      </c>
      <c r="D10" s="466">
        <v>20776</v>
      </c>
      <c r="E10" s="466">
        <v>2514</v>
      </c>
      <c r="F10" s="466"/>
      <c r="G10" s="466"/>
      <c r="H10" s="466"/>
      <c r="I10" s="467"/>
      <c r="J10" s="467"/>
      <c r="K10" s="1671">
        <f t="shared" si="0"/>
        <v>158488</v>
      </c>
      <c r="L10" s="466">
        <v>153288</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895059</v>
      </c>
      <c r="D33" s="1670">
        <f t="shared" ref="D33:L33" si="1">SUM(D5:D32)</f>
        <v>241172</v>
      </c>
      <c r="E33" s="1670">
        <f t="shared" si="1"/>
        <v>2984</v>
      </c>
      <c r="F33" s="1670">
        <f t="shared" si="1"/>
        <v>20661</v>
      </c>
      <c r="G33" s="1670">
        <f t="shared" si="1"/>
        <v>8428</v>
      </c>
      <c r="H33" s="1670">
        <f t="shared" si="1"/>
        <v>16577</v>
      </c>
      <c r="I33" s="1670">
        <f t="shared" si="1"/>
        <v>0</v>
      </c>
      <c r="J33" s="1670">
        <f t="shared" si="1"/>
        <v>0</v>
      </c>
      <c r="K33" s="1670">
        <f t="shared" si="1"/>
        <v>1184881</v>
      </c>
      <c r="L33" s="1670">
        <f t="shared" si="1"/>
        <v>1298251</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322235</v>
      </c>
      <c r="D36" s="481">
        <v>69628</v>
      </c>
      <c r="E36" s="481">
        <v>13334</v>
      </c>
      <c r="F36" s="481"/>
      <c r="G36" s="481"/>
      <c r="H36" s="481"/>
      <c r="I36" s="467"/>
      <c r="J36" s="467"/>
      <c r="K36" s="1671">
        <f t="shared" ref="K36:K41" si="2">SUM(C36:J36)</f>
        <v>405197</v>
      </c>
      <c r="L36" s="466">
        <v>462112</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318583</v>
      </c>
      <c r="D38" s="466">
        <v>92178</v>
      </c>
      <c r="E38" s="466">
        <v>76637</v>
      </c>
      <c r="F38" s="466">
        <v>179</v>
      </c>
      <c r="G38" s="466"/>
      <c r="H38" s="466"/>
      <c r="I38" s="467"/>
      <c r="J38" s="467"/>
      <c r="K38" s="1671">
        <f t="shared" si="2"/>
        <v>487577</v>
      </c>
      <c r="L38" s="466">
        <v>512194</v>
      </c>
    </row>
    <row r="39" spans="1:14" x14ac:dyDescent="0.2">
      <c r="A39" s="1504" t="s">
        <v>199</v>
      </c>
      <c r="B39" s="614">
        <v>2140</v>
      </c>
      <c r="C39" s="466">
        <v>237711</v>
      </c>
      <c r="D39" s="466">
        <v>50649</v>
      </c>
      <c r="E39" s="466">
        <v>49607</v>
      </c>
      <c r="F39" s="466">
        <v>22</v>
      </c>
      <c r="G39" s="466"/>
      <c r="H39" s="466"/>
      <c r="I39" s="467"/>
      <c r="J39" s="467"/>
      <c r="K39" s="1671">
        <f t="shared" si="2"/>
        <v>337989</v>
      </c>
      <c r="L39" s="466">
        <v>344098</v>
      </c>
    </row>
    <row r="40" spans="1:14" x14ac:dyDescent="0.2">
      <c r="A40" s="1504" t="s">
        <v>200</v>
      </c>
      <c r="B40" s="614">
        <v>2150</v>
      </c>
      <c r="C40" s="466">
        <v>483445</v>
      </c>
      <c r="D40" s="466">
        <v>106041</v>
      </c>
      <c r="E40" s="466">
        <v>164106</v>
      </c>
      <c r="F40" s="466"/>
      <c r="G40" s="466"/>
      <c r="H40" s="466"/>
      <c r="I40" s="467"/>
      <c r="J40" s="467"/>
      <c r="K40" s="1671">
        <f t="shared" si="2"/>
        <v>753592</v>
      </c>
      <c r="L40" s="466">
        <v>847036</v>
      </c>
    </row>
    <row r="41" spans="1:14" x14ac:dyDescent="0.2">
      <c r="A41" s="1504" t="s">
        <v>1669</v>
      </c>
      <c r="B41" s="614">
        <v>2190</v>
      </c>
      <c r="C41" s="466"/>
      <c r="D41" s="466"/>
      <c r="E41" s="466">
        <v>2160</v>
      </c>
      <c r="F41" s="466"/>
      <c r="G41" s="466"/>
      <c r="H41" s="466"/>
      <c r="I41" s="467"/>
      <c r="J41" s="467"/>
      <c r="K41" s="1671">
        <f t="shared" si="2"/>
        <v>2160</v>
      </c>
      <c r="L41" s="466">
        <v>500</v>
      </c>
    </row>
    <row r="42" spans="1:14" ht="12.75" customHeight="1" thickBot="1" x14ac:dyDescent="0.25">
      <c r="A42" s="1668" t="s">
        <v>560</v>
      </c>
      <c r="B42" s="1669" t="s">
        <v>716</v>
      </c>
      <c r="C42" s="1670">
        <f>SUM(C36:C41)</f>
        <v>1361974</v>
      </c>
      <c r="D42" s="1670">
        <f t="shared" ref="D42:L42" si="3">SUM(D36:D41)</f>
        <v>318496</v>
      </c>
      <c r="E42" s="1670">
        <f t="shared" si="3"/>
        <v>305844</v>
      </c>
      <c r="F42" s="1670">
        <f t="shared" si="3"/>
        <v>201</v>
      </c>
      <c r="G42" s="1670">
        <f t="shared" si="3"/>
        <v>0</v>
      </c>
      <c r="H42" s="1670">
        <f t="shared" si="3"/>
        <v>0</v>
      </c>
      <c r="I42" s="1670">
        <f t="shared" si="3"/>
        <v>0</v>
      </c>
      <c r="J42" s="1670">
        <f t="shared" si="3"/>
        <v>0</v>
      </c>
      <c r="K42" s="1670">
        <f t="shared" si="3"/>
        <v>1986515</v>
      </c>
      <c r="L42" s="1670">
        <f t="shared" si="3"/>
        <v>2165940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78303</v>
      </c>
      <c r="F44" s="481">
        <v>5749</v>
      </c>
      <c r="G44" s="481"/>
      <c r="H44" s="481"/>
      <c r="I44" s="467"/>
      <c r="J44" s="467"/>
      <c r="K44" s="1672">
        <f>SUM(C44:J44)</f>
        <v>84052</v>
      </c>
      <c r="L44" s="481">
        <v>78420</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v>42791</v>
      </c>
      <c r="F46" s="466"/>
      <c r="G46" s="466"/>
      <c r="H46" s="466"/>
      <c r="I46" s="467"/>
      <c r="J46" s="467"/>
      <c r="K46" s="1672">
        <f>SUM(C46:J46)</f>
        <v>42791</v>
      </c>
      <c r="L46" s="466">
        <v>41190</v>
      </c>
    </row>
    <row r="47" spans="1:14" ht="12.75" customHeight="1" thickBot="1" x14ac:dyDescent="0.25">
      <c r="A47" s="1668" t="s">
        <v>561</v>
      </c>
      <c r="B47" s="1669" t="s">
        <v>32</v>
      </c>
      <c r="C47" s="1670">
        <f>SUM(C44:C46)</f>
        <v>0</v>
      </c>
      <c r="D47" s="1670">
        <f t="shared" ref="D47:K47" si="4">SUM(D44:D46)</f>
        <v>0</v>
      </c>
      <c r="E47" s="1670">
        <f t="shared" si="4"/>
        <v>121094</v>
      </c>
      <c r="F47" s="1670">
        <f t="shared" si="4"/>
        <v>5749</v>
      </c>
      <c r="G47" s="1670">
        <f t="shared" si="4"/>
        <v>0</v>
      </c>
      <c r="H47" s="1670">
        <f t="shared" si="4"/>
        <v>0</v>
      </c>
      <c r="I47" s="1670">
        <f t="shared" si="4"/>
        <v>0</v>
      </c>
      <c r="J47" s="1670">
        <f t="shared" si="4"/>
        <v>0</v>
      </c>
      <c r="K47" s="1670">
        <f t="shared" si="4"/>
        <v>126843</v>
      </c>
      <c r="L47" s="1670">
        <f>SUM(L44:L46)</f>
        <v>119610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c r="F49" s="481"/>
      <c r="G49" s="481"/>
      <c r="H49" s="481"/>
      <c r="I49" s="467"/>
      <c r="J49" s="467"/>
      <c r="K49" s="1672">
        <f>SUM(C49:J49)</f>
        <v>0</v>
      </c>
      <c r="L49" s="481"/>
    </row>
    <row r="50" spans="1:14" x14ac:dyDescent="0.2">
      <c r="A50" s="1504" t="s">
        <v>818</v>
      </c>
      <c r="B50" s="614">
        <v>2320</v>
      </c>
      <c r="C50" s="466"/>
      <c r="D50" s="466"/>
      <c r="E50" s="466"/>
      <c r="F50" s="466"/>
      <c r="G50" s="466"/>
      <c r="H50" s="466"/>
      <c r="I50" s="467"/>
      <c r="J50" s="467"/>
      <c r="K50" s="1672">
        <f>SUM(C50:J50)</f>
        <v>0</v>
      </c>
      <c r="L50" s="466"/>
    </row>
    <row r="51" spans="1:14" x14ac:dyDescent="0.2">
      <c r="A51" s="1504" t="s">
        <v>42</v>
      </c>
      <c r="B51" s="614">
        <v>2330</v>
      </c>
      <c r="C51" s="466">
        <v>514143</v>
      </c>
      <c r="D51" s="466">
        <v>102540</v>
      </c>
      <c r="E51" s="466">
        <v>42431</v>
      </c>
      <c r="F51" s="466">
        <v>33044</v>
      </c>
      <c r="G51" s="466"/>
      <c r="H51" s="466">
        <v>3250</v>
      </c>
      <c r="I51" s="467"/>
      <c r="J51" s="467"/>
      <c r="K51" s="1672">
        <f>SUM(C51:J51)</f>
        <v>695408</v>
      </c>
      <c r="L51" s="466">
        <v>663829</v>
      </c>
    </row>
    <row r="52" spans="1:14" ht="22.5" x14ac:dyDescent="0.2">
      <c r="A52" s="1505" t="s">
        <v>298</v>
      </c>
      <c r="B52" s="627" t="s">
        <v>366</v>
      </c>
      <c r="C52" s="474"/>
      <c r="D52" s="474">
        <v>34851</v>
      </c>
      <c r="E52" s="474">
        <v>15326</v>
      </c>
      <c r="F52" s="474"/>
      <c r="G52" s="474"/>
      <c r="H52" s="474"/>
      <c r="I52" s="474"/>
      <c r="J52" s="474"/>
      <c r="K52" s="1672">
        <f>SUM(C52:J52)</f>
        <v>50177</v>
      </c>
      <c r="L52" s="474">
        <v>80059</v>
      </c>
    </row>
    <row r="53" spans="1:14" ht="12.75" customHeight="1" thickBot="1" x14ac:dyDescent="0.25">
      <c r="A53" s="1668" t="s">
        <v>717</v>
      </c>
      <c r="B53" s="1669" t="s">
        <v>33</v>
      </c>
      <c r="C53" s="1670">
        <f>SUM(C49:C52)</f>
        <v>514143</v>
      </c>
      <c r="D53" s="1670">
        <f t="shared" ref="D53:L53" si="5">SUM(D49:D52)</f>
        <v>137391</v>
      </c>
      <c r="E53" s="1670">
        <f t="shared" si="5"/>
        <v>57757</v>
      </c>
      <c r="F53" s="1670">
        <f t="shared" si="5"/>
        <v>33044</v>
      </c>
      <c r="G53" s="1670">
        <f t="shared" si="5"/>
        <v>0</v>
      </c>
      <c r="H53" s="1670">
        <f t="shared" si="5"/>
        <v>3250</v>
      </c>
      <c r="I53" s="1670">
        <f t="shared" si="5"/>
        <v>0</v>
      </c>
      <c r="J53" s="1670">
        <f t="shared" si="5"/>
        <v>0</v>
      </c>
      <c r="K53" s="1670">
        <f t="shared" si="5"/>
        <v>745585</v>
      </c>
      <c r="L53" s="1670">
        <f t="shared" si="5"/>
        <v>743888</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170142</v>
      </c>
      <c r="D55" s="481">
        <v>39749</v>
      </c>
      <c r="E55" s="481">
        <v>806</v>
      </c>
      <c r="F55" s="481"/>
      <c r="G55" s="481"/>
      <c r="H55" s="481">
        <v>848</v>
      </c>
      <c r="I55" s="467"/>
      <c r="J55" s="467"/>
      <c r="K55" s="1672">
        <f>SUM(C55:J55)</f>
        <v>211545</v>
      </c>
      <c r="L55" s="481">
        <v>223769</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170142</v>
      </c>
      <c r="D57" s="1674">
        <f t="shared" ref="D57:K57" si="6">SUM(D55:D56)</f>
        <v>39749</v>
      </c>
      <c r="E57" s="1674">
        <f t="shared" si="6"/>
        <v>806</v>
      </c>
      <c r="F57" s="1674">
        <f t="shared" si="6"/>
        <v>0</v>
      </c>
      <c r="G57" s="1674">
        <f t="shared" si="6"/>
        <v>0</v>
      </c>
      <c r="H57" s="1674">
        <f t="shared" si="6"/>
        <v>848</v>
      </c>
      <c r="I57" s="1674">
        <f t="shared" si="6"/>
        <v>0</v>
      </c>
      <c r="J57" s="1674">
        <f t="shared" si="6"/>
        <v>0</v>
      </c>
      <c r="K57" s="1674">
        <f t="shared" si="6"/>
        <v>211545</v>
      </c>
      <c r="L57" s="1670">
        <f>SUM(L55:L56)</f>
        <v>223769</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51944</v>
      </c>
      <c r="D60" s="466">
        <v>15316</v>
      </c>
      <c r="E60" s="466">
        <v>11500</v>
      </c>
      <c r="F60" s="466"/>
      <c r="G60" s="466"/>
      <c r="H60" s="466"/>
      <c r="I60" s="467"/>
      <c r="J60" s="467"/>
      <c r="K60" s="1672">
        <f t="shared" si="7"/>
        <v>78760</v>
      </c>
      <c r="L60" s="466">
        <v>78951</v>
      </c>
      <c r="M60" s="609"/>
      <c r="N60" s="609"/>
    </row>
    <row r="61" spans="1:14" s="343" customFormat="1" x14ac:dyDescent="0.2">
      <c r="A61" s="1504" t="s">
        <v>197</v>
      </c>
      <c r="B61" s="614">
        <v>2540</v>
      </c>
      <c r="C61" s="466">
        <v>24124</v>
      </c>
      <c r="D61" s="466">
        <v>8822</v>
      </c>
      <c r="E61" s="466">
        <v>223693</v>
      </c>
      <c r="F61" s="466">
        <v>3247</v>
      </c>
      <c r="G61" s="466"/>
      <c r="H61" s="466"/>
      <c r="I61" s="467"/>
      <c r="J61" s="467"/>
      <c r="K61" s="1672">
        <f t="shared" si="7"/>
        <v>259886</v>
      </c>
      <c r="L61" s="466">
        <v>250419</v>
      </c>
      <c r="M61" s="609"/>
      <c r="N61" s="609"/>
    </row>
    <row r="62" spans="1:14" s="343" customFormat="1" x14ac:dyDescent="0.2">
      <c r="A62" s="1504" t="s">
        <v>953</v>
      </c>
      <c r="B62" s="614">
        <v>2550</v>
      </c>
      <c r="C62" s="466"/>
      <c r="D62" s="466"/>
      <c r="E62" s="466">
        <v>16167</v>
      </c>
      <c r="F62" s="466"/>
      <c r="G62" s="466">
        <v>55195</v>
      </c>
      <c r="H62" s="466"/>
      <c r="I62" s="467"/>
      <c r="J62" s="467"/>
      <c r="K62" s="1672">
        <f t="shared" si="7"/>
        <v>71362</v>
      </c>
      <c r="L62" s="466">
        <v>17950</v>
      </c>
      <c r="M62" s="609"/>
      <c r="N62" s="609"/>
    </row>
    <row r="63" spans="1:14" s="609" customFormat="1" x14ac:dyDescent="0.2">
      <c r="A63" s="1504" t="s">
        <v>100</v>
      </c>
      <c r="B63" s="614">
        <v>2560</v>
      </c>
      <c r="C63" s="466"/>
      <c r="D63" s="466"/>
      <c r="E63" s="466">
        <v>16568</v>
      </c>
      <c r="F63" s="466"/>
      <c r="G63" s="466"/>
      <c r="H63" s="466"/>
      <c r="I63" s="467"/>
      <c r="J63" s="467"/>
      <c r="K63" s="1672">
        <f t="shared" si="7"/>
        <v>16568</v>
      </c>
      <c r="L63" s="466">
        <v>18000</v>
      </c>
    </row>
    <row r="64" spans="1:14" s="609" customFormat="1" x14ac:dyDescent="0.2">
      <c r="A64" s="1509" t="s">
        <v>101</v>
      </c>
      <c r="B64" s="630">
        <v>2570</v>
      </c>
      <c r="C64" s="481"/>
      <c r="D64" s="481"/>
      <c r="E64" s="481">
        <v>13681</v>
      </c>
      <c r="F64" s="481"/>
      <c r="G64" s="481"/>
      <c r="H64" s="481"/>
      <c r="I64" s="467"/>
      <c r="J64" s="467"/>
      <c r="K64" s="1672">
        <f t="shared" si="7"/>
        <v>13681</v>
      </c>
      <c r="L64" s="481">
        <v>17781</v>
      </c>
    </row>
    <row r="65" spans="1:14" s="343" customFormat="1" ht="12.75" customHeight="1" thickBot="1" x14ac:dyDescent="0.25">
      <c r="A65" s="1668" t="s">
        <v>719</v>
      </c>
      <c r="B65" s="1669" t="s">
        <v>35</v>
      </c>
      <c r="C65" s="1670">
        <f>SUM(C59:C64)</f>
        <v>76068</v>
      </c>
      <c r="D65" s="1670">
        <f t="shared" ref="D65:L65" si="8">SUM(D59:D64)</f>
        <v>24138</v>
      </c>
      <c r="E65" s="1670">
        <f t="shared" si="8"/>
        <v>281609</v>
      </c>
      <c r="F65" s="1670">
        <f t="shared" si="8"/>
        <v>3247</v>
      </c>
      <c r="G65" s="1670">
        <f t="shared" si="8"/>
        <v>55195</v>
      </c>
      <c r="H65" s="1670">
        <f t="shared" si="8"/>
        <v>0</v>
      </c>
      <c r="I65" s="1670">
        <f t="shared" si="8"/>
        <v>0</v>
      </c>
      <c r="J65" s="1670">
        <f t="shared" si="8"/>
        <v>0</v>
      </c>
      <c r="K65" s="1670">
        <f t="shared" si="8"/>
        <v>440257</v>
      </c>
      <c r="L65" s="1670">
        <f t="shared" si="8"/>
        <v>383101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v>75069</v>
      </c>
      <c r="D68" s="466">
        <v>17930</v>
      </c>
      <c r="E68" s="466">
        <v>1976</v>
      </c>
      <c r="F68" s="466"/>
      <c r="G68" s="466"/>
      <c r="H68" s="466">
        <v>755</v>
      </c>
      <c r="I68" s="467"/>
      <c r="J68" s="467"/>
      <c r="K68" s="1672">
        <f>SUM(C68:J68)</f>
        <v>95730</v>
      </c>
      <c r="L68" s="466">
        <v>92993</v>
      </c>
      <c r="M68" s="609"/>
      <c r="N68" s="609"/>
    </row>
    <row r="69" spans="1:14" s="343" customFormat="1" x14ac:dyDescent="0.2">
      <c r="A69" s="1504" t="s">
        <v>1061</v>
      </c>
      <c r="B69" s="614">
        <v>2630</v>
      </c>
      <c r="C69" s="466">
        <v>26775</v>
      </c>
      <c r="D69" s="466">
        <v>9154</v>
      </c>
      <c r="E69" s="466">
        <v>9440</v>
      </c>
      <c r="F69" s="466"/>
      <c r="G69" s="466"/>
      <c r="H69" s="466"/>
      <c r="I69" s="467"/>
      <c r="J69" s="467"/>
      <c r="K69" s="1672">
        <f>SUM(C69:J69)</f>
        <v>45369</v>
      </c>
      <c r="L69" s="466">
        <v>69243</v>
      </c>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v>25160</v>
      </c>
      <c r="F71" s="466"/>
      <c r="G71" s="466"/>
      <c r="H71" s="466"/>
      <c r="I71" s="467"/>
      <c r="J71" s="467"/>
      <c r="K71" s="1672">
        <f>SUM(C71:J71)</f>
        <v>25160</v>
      </c>
      <c r="L71" s="466">
        <v>28000</v>
      </c>
      <c r="M71" s="609"/>
      <c r="N71" s="609"/>
    </row>
    <row r="72" spans="1:14" s="343" customFormat="1" ht="12.75" customHeight="1" thickBot="1" x14ac:dyDescent="0.25">
      <c r="A72" s="1668" t="s">
        <v>37</v>
      </c>
      <c r="B72" s="1675" t="s">
        <v>36</v>
      </c>
      <c r="C72" s="1670">
        <f>SUM(C67:C71)</f>
        <v>101844</v>
      </c>
      <c r="D72" s="1670">
        <f t="shared" ref="D72:K72" si="9">SUM(D67:D71)</f>
        <v>27084</v>
      </c>
      <c r="E72" s="1670">
        <f t="shared" si="9"/>
        <v>36576</v>
      </c>
      <c r="F72" s="1670">
        <f t="shared" si="9"/>
        <v>0</v>
      </c>
      <c r="G72" s="1670">
        <f t="shared" si="9"/>
        <v>0</v>
      </c>
      <c r="H72" s="1670">
        <f t="shared" si="9"/>
        <v>755</v>
      </c>
      <c r="I72" s="1670">
        <f t="shared" si="9"/>
        <v>0</v>
      </c>
      <c r="J72" s="1670">
        <f t="shared" si="9"/>
        <v>0</v>
      </c>
      <c r="K72" s="1670">
        <f t="shared" si="9"/>
        <v>166259</v>
      </c>
      <c r="L72" s="1670">
        <f>SUM(L67:L71)</f>
        <v>190236</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2224171</v>
      </c>
      <c r="D74" s="1677">
        <f t="shared" ref="D74:K74" si="10">SUM(D42,D47,D53,D57,D65,D72,D73)</f>
        <v>546858</v>
      </c>
      <c r="E74" s="1677">
        <f t="shared" si="10"/>
        <v>803686</v>
      </c>
      <c r="F74" s="1677">
        <f t="shared" si="10"/>
        <v>42241</v>
      </c>
      <c r="G74" s="1677">
        <f t="shared" si="10"/>
        <v>55195</v>
      </c>
      <c r="H74" s="1677">
        <f t="shared" si="10"/>
        <v>4853</v>
      </c>
      <c r="I74" s="1677">
        <f t="shared" si="10"/>
        <v>0</v>
      </c>
      <c r="J74" s="1677">
        <f t="shared" si="10"/>
        <v>0</v>
      </c>
      <c r="K74" s="1677">
        <f t="shared" si="10"/>
        <v>3677004</v>
      </c>
      <c r="L74" s="1677">
        <f>SUM(L42,L47,L53,L57,L65,L72,L73)</f>
        <v>3826544</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31705</v>
      </c>
      <c r="F79" s="616"/>
      <c r="G79" s="616"/>
      <c r="H79" s="466">
        <v>280000</v>
      </c>
      <c r="I79" s="477"/>
      <c r="J79" s="477"/>
      <c r="K79" s="1671">
        <f t="shared" si="11"/>
        <v>311705</v>
      </c>
      <c r="L79" s="466">
        <v>309560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31705</v>
      </c>
      <c r="F84" s="616"/>
      <c r="G84" s="616"/>
      <c r="H84" s="1670">
        <f>SUM(H78:H83)</f>
        <v>280000</v>
      </c>
      <c r="I84" s="477"/>
      <c r="J84" s="477"/>
      <c r="K84" s="1670">
        <f>SUM(K78:K83)</f>
        <v>311705</v>
      </c>
      <c r="L84" s="1670">
        <f>SUM(L78:L83)</f>
        <v>309560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31705</v>
      </c>
      <c r="F102" s="616"/>
      <c r="G102" s="616"/>
      <c r="H102" s="1677">
        <f>SUM(H84,H92,H100,H101)</f>
        <v>280000</v>
      </c>
      <c r="I102" s="477"/>
      <c r="J102" s="477"/>
      <c r="K102" s="1677">
        <f>SUM(K84,K92,K100,K101)</f>
        <v>311705</v>
      </c>
      <c r="L102" s="1677">
        <f>SUM(L84,L92,L100,L101)</f>
        <v>309560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3119230</v>
      </c>
      <c r="D114" s="1670">
        <f t="shared" ref="D114:K114" si="13">SUM(D33,D74,D75,D102,D112,D113)</f>
        <v>788030</v>
      </c>
      <c r="E114" s="1670">
        <f t="shared" si="13"/>
        <v>838375</v>
      </c>
      <c r="F114" s="1670">
        <f t="shared" si="13"/>
        <v>62902</v>
      </c>
      <c r="G114" s="1670">
        <f t="shared" si="13"/>
        <v>63623</v>
      </c>
      <c r="H114" s="1670">
        <f>SUM(H33,H74,H75,H102,H112,H113)</f>
        <v>301430</v>
      </c>
      <c r="I114" s="1670">
        <f t="shared" si="13"/>
        <v>0</v>
      </c>
      <c r="J114" s="1670">
        <f t="shared" si="13"/>
        <v>0</v>
      </c>
      <c r="K114" s="1670">
        <f t="shared" si="13"/>
        <v>5173590</v>
      </c>
      <c r="L114" s="1670">
        <f>SUM(L33,L74,L75,L102,L112,L113)</f>
        <v>5434355</v>
      </c>
    </row>
    <row r="115" spans="1:14" ht="13.5" thickTop="1" x14ac:dyDescent="0.2">
      <c r="A115" s="2155" t="s">
        <v>996</v>
      </c>
      <c r="B115" s="2156"/>
      <c r="C115" s="618"/>
      <c r="D115" s="618"/>
      <c r="E115" s="618"/>
      <c r="F115" s="618"/>
      <c r="G115" s="618"/>
      <c r="H115" s="618"/>
      <c r="I115" s="618"/>
      <c r="J115" s="618"/>
      <c r="K115" s="1684">
        <f>'Revenues 9-14'!C268-'Expenditures 15-22'!K114</f>
        <v>-328635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296</v>
      </c>
      <c r="B117" s="216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2057</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c r="F124" s="466"/>
      <c r="G124" s="466"/>
      <c r="H124" s="466"/>
      <c r="I124" s="467"/>
      <c r="J124" s="467"/>
      <c r="K124" s="1670">
        <f>SUM(C124:J124)</f>
        <v>0</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1842</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2" t="s">
        <v>620</v>
      </c>
      <c r="B151" s="2152"/>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175" t="s">
        <v>1178</v>
      </c>
      <c r="B152" s="2176"/>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621</v>
      </c>
      <c r="B154" s="216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1843</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1842</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1844</v>
      </c>
      <c r="C158" s="616"/>
      <c r="D158" s="616"/>
      <c r="E158" s="616"/>
      <c r="F158" s="616"/>
      <c r="G158" s="616"/>
      <c r="H158" s="467"/>
      <c r="I158" s="616"/>
      <c r="J158" s="616"/>
      <c r="K158" s="1671">
        <f>H158</f>
        <v>0</v>
      </c>
      <c r="L158" s="467"/>
      <c r="M158" s="619"/>
      <c r="N158" s="619"/>
    </row>
    <row r="159" spans="1:14" s="620" customFormat="1" ht="12" x14ac:dyDescent="0.2">
      <c r="A159" s="1826" t="s">
        <v>1845</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1846</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55" t="s">
        <v>996</v>
      </c>
      <c r="B175" s="2156"/>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2057</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55" t="s">
        <v>996</v>
      </c>
      <c r="B211" s="2156"/>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965</v>
      </c>
      <c r="B213" s="217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1803</v>
      </c>
      <c r="B249" s="683" t="s">
        <v>282</v>
      </c>
      <c r="C249" s="616"/>
      <c r="D249" s="474"/>
      <c r="E249" s="616"/>
      <c r="F249" s="616"/>
      <c r="G249" s="616"/>
      <c r="H249" s="616"/>
      <c r="I249" s="616"/>
      <c r="J249" s="616"/>
      <c r="K249" s="1672">
        <f t="shared" si="21"/>
        <v>0</v>
      </c>
      <c r="L249" s="466"/>
    </row>
    <row r="250" spans="1:12" x14ac:dyDescent="0.2">
      <c r="A250" s="1505" t="s">
        <v>1804</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1802</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1842</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3" t="s">
        <v>505</v>
      </c>
      <c r="B295" s="2174"/>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55" t="s">
        <v>996</v>
      </c>
      <c r="B296" s="2156"/>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445320</v>
      </c>
      <c r="H301" s="466"/>
      <c r="I301" s="467"/>
      <c r="J301" s="467"/>
      <c r="K301" s="1671">
        <f>SUM(C301:J301)</f>
        <v>445320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445320</v>
      </c>
      <c r="H303" s="1677">
        <f t="shared" si="23"/>
        <v>0</v>
      </c>
      <c r="I303" s="1677">
        <f t="shared" si="23"/>
        <v>0</v>
      </c>
      <c r="J303" s="1677">
        <f t="shared" si="23"/>
        <v>0</v>
      </c>
      <c r="K303" s="1677">
        <f t="shared" si="23"/>
        <v>445320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1847</v>
      </c>
      <c r="B306" s="690" t="s">
        <v>1842</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0" t="s">
        <v>277</v>
      </c>
      <c r="B312" s="2171"/>
      <c r="C312" s="1670">
        <f>SUM(C303)</f>
        <v>0</v>
      </c>
      <c r="D312" s="1670">
        <f>SUM(D303)</f>
        <v>0</v>
      </c>
      <c r="E312" s="1670">
        <f>SUM(E303,E310)</f>
        <v>0</v>
      </c>
      <c r="F312" s="1670">
        <f>SUM(F303)</f>
        <v>0</v>
      </c>
      <c r="G312" s="1670">
        <f>SUM(G303)</f>
        <v>445320</v>
      </c>
      <c r="H312" s="1670">
        <f>SUM(H303,H310)</f>
        <v>0</v>
      </c>
      <c r="I312" s="1670">
        <f>SUM(I303)</f>
        <v>0</v>
      </c>
      <c r="J312" s="1670">
        <f>SUM(J303)</f>
        <v>0</v>
      </c>
      <c r="K312" s="1670">
        <f>SUM(K303,K310,K311)</f>
        <v>445320</v>
      </c>
      <c r="L312" s="1670">
        <f>SUM(L303,L310,L311)</f>
        <v>0</v>
      </c>
      <c r="M312" s="665"/>
      <c r="N312" s="665"/>
    </row>
    <row r="313" spans="1:14" ht="13.5" thickTop="1" x14ac:dyDescent="0.2">
      <c r="A313" s="2166" t="s">
        <v>996</v>
      </c>
      <c r="B313" s="2167"/>
      <c r="C313" s="626"/>
      <c r="D313" s="626"/>
      <c r="E313" s="626"/>
      <c r="F313" s="626"/>
      <c r="G313" s="626"/>
      <c r="H313" s="626"/>
      <c r="I313" s="626"/>
      <c r="J313" s="626"/>
      <c r="K313" s="1685">
        <f>'Revenues 9-14'!H268-'Expenditures 15-22'!K312</f>
        <v>554680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898</v>
      </c>
      <c r="B317" s="218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1803</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1848</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1842</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1844</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1849</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68" t="s">
        <v>996</v>
      </c>
      <c r="B343" s="2169"/>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966</v>
      </c>
      <c r="B345" s="215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1850</v>
      </c>
      <c r="B354" s="683" t="s">
        <v>1842</v>
      </c>
      <c r="C354" s="616"/>
      <c r="D354" s="616"/>
      <c r="E354" s="616"/>
      <c r="F354" s="616"/>
      <c r="G354" s="616"/>
      <c r="H354" s="474"/>
      <c r="I354" s="701"/>
      <c r="J354" s="616"/>
      <c r="K354" s="1699">
        <f>H354</f>
        <v>0</v>
      </c>
      <c r="L354" s="471"/>
    </row>
    <row r="355" spans="1:14" ht="12.75" customHeight="1" x14ac:dyDescent="0.2">
      <c r="A355" s="1513" t="s">
        <v>1851</v>
      </c>
      <c r="B355" s="690" t="s">
        <v>1844</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5" t="s">
        <v>996</v>
      </c>
      <c r="B368" s="2156"/>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B1" sqref="B1"/>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2" t="s">
        <v>1800</v>
      </c>
      <c r="B2" s="1528" t="s">
        <v>1948</v>
      </c>
      <c r="C2" s="714" t="s">
        <v>1949</v>
      </c>
      <c r="D2" s="714" t="s">
        <v>1950</v>
      </c>
      <c r="E2" s="714" t="s">
        <v>1951</v>
      </c>
      <c r="F2" s="714" t="s">
        <v>1952</v>
      </c>
    </row>
    <row r="3" spans="1:6" ht="12" customHeight="1" x14ac:dyDescent="0.2">
      <c r="A3" s="2183"/>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3" colorId="8" zoomScale="110" zoomScaleNormal="110" workbookViewId="0">
      <selection activeCell="D27" sqref="D2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629</v>
      </c>
      <c r="B1" s="2202"/>
      <c r="C1" s="721"/>
    </row>
    <row r="2" spans="1:7" ht="33.75" x14ac:dyDescent="0.2">
      <c r="A2" s="2209" t="s">
        <v>1800</v>
      </c>
      <c r="B2" s="2210"/>
      <c r="C2" s="1884" t="s">
        <v>1953</v>
      </c>
      <c r="D2" s="723" t="s">
        <v>1954</v>
      </c>
      <c r="E2" s="723" t="s">
        <v>1955</v>
      </c>
      <c r="F2" s="1884" t="s">
        <v>1956</v>
      </c>
    </row>
    <row r="3" spans="1:7" ht="15.75" customHeight="1" x14ac:dyDescent="0.2">
      <c r="A3" s="2211" t="s">
        <v>1114</v>
      </c>
      <c r="B3" s="2212"/>
      <c r="C3" s="2205"/>
      <c r="D3" s="2206"/>
      <c r="E3" s="2206"/>
      <c r="F3" s="2207"/>
    </row>
    <row r="4" spans="1:7" ht="12.75" customHeight="1" thickBot="1" x14ac:dyDescent="0.25">
      <c r="A4" s="2199" t="s">
        <v>630</v>
      </c>
      <c r="B4" s="2200"/>
      <c r="C4" s="581"/>
      <c r="D4" s="581"/>
      <c r="E4" s="581"/>
      <c r="F4" s="1755">
        <f>SUM(C4+D4)-E4</f>
        <v>0</v>
      </c>
    </row>
    <row r="5" spans="1:7" ht="15.75" customHeight="1" thickTop="1" x14ac:dyDescent="0.2">
      <c r="A5" s="2203" t="s">
        <v>1110</v>
      </c>
      <c r="B5" s="2198"/>
      <c r="C5" s="2192"/>
      <c r="D5" s="2193"/>
      <c r="E5" s="2193"/>
      <c r="F5" s="2194"/>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5" t="s">
        <v>631</v>
      </c>
      <c r="B15" s="2196"/>
      <c r="C15" s="1755">
        <f>SUM(C6:C14)</f>
        <v>0</v>
      </c>
      <c r="D15" s="1755">
        <f>SUM(D6:D14)</f>
        <v>0</v>
      </c>
      <c r="E15" s="1755">
        <f>SUM(E6:E14)</f>
        <v>0</v>
      </c>
      <c r="F15" s="1755">
        <f>SUM(F6:F14)</f>
        <v>0</v>
      </c>
      <c r="G15" s="552"/>
    </row>
    <row r="16" spans="1:7" s="202" customFormat="1" ht="15.75" customHeight="1" thickTop="1" x14ac:dyDescent="0.2">
      <c r="A16" s="2208" t="s">
        <v>1111</v>
      </c>
      <c r="B16" s="2198"/>
      <c r="C16" s="2192"/>
      <c r="D16" s="2193"/>
      <c r="E16" s="2193"/>
      <c r="F16" s="2194"/>
    </row>
    <row r="17" spans="1:11" ht="12.75" customHeight="1" thickBot="1" x14ac:dyDescent="0.25">
      <c r="A17" s="2190" t="s">
        <v>64</v>
      </c>
      <c r="B17" s="2191"/>
      <c r="C17" s="726"/>
      <c r="D17" s="585"/>
      <c r="E17" s="726"/>
      <c r="F17" s="1755">
        <f>SUM(C17+D17)-E17</f>
        <v>0</v>
      </c>
    </row>
    <row r="18" spans="1:11" ht="12.75" customHeight="1" thickTop="1" thickBot="1" x14ac:dyDescent="0.25">
      <c r="A18" s="2190" t="s">
        <v>6</v>
      </c>
      <c r="B18" s="2191"/>
      <c r="C18" s="726"/>
      <c r="D18" s="585"/>
      <c r="E18" s="726"/>
      <c r="F18" s="1755">
        <f>SUM(C18+D18)-E18</f>
        <v>0</v>
      </c>
    </row>
    <row r="19" spans="1:11" ht="12.75" customHeight="1" thickTop="1" thickBot="1" x14ac:dyDescent="0.25">
      <c r="A19" s="2190" t="s">
        <v>388</v>
      </c>
      <c r="B19" s="2191"/>
      <c r="C19" s="726"/>
      <c r="D19" s="585"/>
      <c r="E19" s="726"/>
      <c r="F19" s="1755">
        <f>SUM(C19+D19)-E19</f>
        <v>0</v>
      </c>
    </row>
    <row r="20" spans="1:11" ht="12.75" customHeight="1" thickTop="1" thickBot="1" x14ac:dyDescent="0.25">
      <c r="A20" s="2190" t="s">
        <v>448</v>
      </c>
      <c r="B20" s="2191"/>
      <c r="C20" s="726"/>
      <c r="D20" s="585"/>
      <c r="E20" s="726"/>
      <c r="F20" s="1755">
        <f>SUM(C20+D20)-E20</f>
        <v>0</v>
      </c>
    </row>
    <row r="21" spans="1:11" ht="14.25" thickTop="1" thickBot="1" x14ac:dyDescent="0.25">
      <c r="A21" s="2195" t="s">
        <v>632</v>
      </c>
      <c r="B21" s="2196"/>
      <c r="C21" s="1755">
        <f>SUM(C17:C20)</f>
        <v>0</v>
      </c>
      <c r="D21" s="1755">
        <f>SUM(D17:D20)</f>
        <v>0</v>
      </c>
      <c r="E21" s="1755">
        <f>SUM(E17:E20)</f>
        <v>0</v>
      </c>
      <c r="F21" s="1755">
        <f>SUM(F17:F20)</f>
        <v>0</v>
      </c>
      <c r="G21" s="552"/>
    </row>
    <row r="22" spans="1:11" ht="15.75" customHeight="1" thickTop="1" x14ac:dyDescent="0.2">
      <c r="A22" s="2197" t="s">
        <v>1112</v>
      </c>
      <c r="B22" s="2198"/>
      <c r="C22" s="2192"/>
      <c r="D22" s="2193"/>
      <c r="E22" s="2193"/>
      <c r="F22" s="2194"/>
    </row>
    <row r="23" spans="1:11" ht="13.5" thickBot="1" x14ac:dyDescent="0.25">
      <c r="A23" s="2199" t="s">
        <v>633</v>
      </c>
      <c r="B23" s="2200"/>
      <c r="C23" s="581"/>
      <c r="D23" s="581"/>
      <c r="E23" s="581"/>
      <c r="F23" s="1755">
        <f>SUM(C23+D23)-E23</f>
        <v>0</v>
      </c>
      <c r="G23" s="552"/>
    </row>
    <row r="24" spans="1:11" ht="15.75" customHeight="1" thickTop="1" x14ac:dyDescent="0.2">
      <c r="A24" s="2197" t="s">
        <v>1113</v>
      </c>
      <c r="B24" s="2198"/>
      <c r="C24" s="2192"/>
      <c r="D24" s="2193"/>
      <c r="E24" s="2193"/>
      <c r="F24" s="2194"/>
    </row>
    <row r="25" spans="1:11" ht="13.5" thickBot="1" x14ac:dyDescent="0.25">
      <c r="A25" s="2199" t="s">
        <v>634</v>
      </c>
      <c r="B25" s="2200"/>
      <c r="C25" s="581"/>
      <c r="D25" s="581"/>
      <c r="E25" s="581"/>
      <c r="F25" s="1755">
        <f>SUM(C25+D25)-E25</f>
        <v>0</v>
      </c>
      <c r="G25" s="552"/>
    </row>
    <row r="26" spans="1:11" ht="15.75" customHeight="1" thickTop="1" x14ac:dyDescent="0.2">
      <c r="A26" s="2203" t="s">
        <v>657</v>
      </c>
      <c r="B26" s="2198"/>
      <c r="C26" s="727"/>
      <c r="D26" s="727"/>
      <c r="E26" s="727"/>
      <c r="F26" s="728"/>
    </row>
    <row r="27" spans="1:11" ht="13.5" thickBot="1" x14ac:dyDescent="0.25">
      <c r="A27" s="2195" t="s">
        <v>1070</v>
      </c>
      <c r="B27" s="2196"/>
      <c r="C27" s="585"/>
      <c r="D27" s="585">
        <v>50000</v>
      </c>
      <c r="E27" s="585"/>
      <c r="F27" s="1755">
        <f>SUM(C27+D27)-E27</f>
        <v>50000</v>
      </c>
      <c r="G27" s="552"/>
    </row>
    <row r="28" spans="1:11" ht="7.5" customHeight="1" thickTop="1" x14ac:dyDescent="0.2">
      <c r="A28" s="593"/>
    </row>
    <row r="29" spans="1:11" ht="23.25" customHeight="1" x14ac:dyDescent="0.2">
      <c r="A29" s="2201" t="s">
        <v>582</v>
      </c>
      <c r="B29" s="2202"/>
      <c r="C29" s="729"/>
      <c r="D29" s="729"/>
      <c r="E29" s="729"/>
      <c r="F29" s="729"/>
      <c r="G29" s="729"/>
      <c r="H29" s="729"/>
      <c r="I29" s="729"/>
      <c r="J29" s="729"/>
    </row>
    <row r="30" spans="1:11" ht="33.75" x14ac:dyDescent="0.2">
      <c r="A30" s="1529" t="s">
        <v>1071</v>
      </c>
      <c r="B30" s="730" t="s">
        <v>1124</v>
      </c>
      <c r="C30" s="1885" t="s">
        <v>583</v>
      </c>
      <c r="D30" s="1885" t="s">
        <v>1673</v>
      </c>
      <c r="E30" s="1885" t="s">
        <v>1957</v>
      </c>
      <c r="F30" s="1885" t="s">
        <v>1958</v>
      </c>
      <c r="G30" s="1885" t="s">
        <v>1908</v>
      </c>
      <c r="H30" s="1885" t="s">
        <v>1959</v>
      </c>
      <c r="I30" s="1885" t="s">
        <v>1960</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184" t="s">
        <v>584</v>
      </c>
      <c r="C52" s="2185"/>
      <c r="D52" s="2185"/>
      <c r="E52" s="749" t="s">
        <v>845</v>
      </c>
      <c r="F52" s="2186"/>
      <c r="G52" s="2187"/>
      <c r="H52" s="736"/>
      <c r="I52" s="736"/>
      <c r="J52" s="746"/>
    </row>
    <row r="53" spans="1:11" ht="11.25" customHeight="1" x14ac:dyDescent="0.2">
      <c r="A53" s="750" t="s">
        <v>913</v>
      </c>
      <c r="B53" s="751" t="s">
        <v>951</v>
      </c>
      <c r="C53" s="746"/>
      <c r="D53" s="737"/>
      <c r="E53" s="749" t="s">
        <v>497</v>
      </c>
      <c r="F53" s="2188"/>
      <c r="G53" s="2189"/>
      <c r="H53" s="736"/>
      <c r="I53" s="736"/>
      <c r="J53" s="746"/>
    </row>
    <row r="54" spans="1:11" ht="11.25" customHeight="1" x14ac:dyDescent="0.2">
      <c r="A54" s="752" t="s">
        <v>914</v>
      </c>
      <c r="B54" s="747" t="s">
        <v>952</v>
      </c>
      <c r="C54" s="746"/>
      <c r="D54" s="737"/>
      <c r="E54" s="749" t="s">
        <v>498</v>
      </c>
      <c r="F54" s="2188"/>
      <c r="G54" s="218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3" t="s">
        <v>856</v>
      </c>
      <c r="B1" s="2214"/>
      <c r="C1" s="2214"/>
      <c r="D1" s="2214"/>
      <c r="E1" s="2214"/>
      <c r="F1" s="2214"/>
      <c r="G1" s="2215"/>
      <c r="H1" s="1530"/>
      <c r="I1" s="760"/>
      <c r="J1" s="433"/>
    </row>
    <row r="2" spans="1:11" ht="26.25" x14ac:dyDescent="0.2">
      <c r="A2" s="2232" t="s">
        <v>1677</v>
      </c>
      <c r="B2" s="2233"/>
      <c r="C2" s="2233"/>
      <c r="D2" s="2233"/>
      <c r="E2" s="2234"/>
      <c r="F2" s="761" t="s">
        <v>904</v>
      </c>
      <c r="G2" s="762" t="s">
        <v>1674</v>
      </c>
      <c r="H2" s="762" t="s">
        <v>410</v>
      </c>
      <c r="I2" s="762" t="s">
        <v>1158</v>
      </c>
      <c r="J2" s="762" t="s">
        <v>1810</v>
      </c>
      <c r="K2" s="762" t="s">
        <v>138</v>
      </c>
    </row>
    <row r="3" spans="1:11" x14ac:dyDescent="0.2">
      <c r="A3" s="2235" t="s">
        <v>1961</v>
      </c>
      <c r="B3" s="2236"/>
      <c r="C3" s="2236"/>
      <c r="D3" s="2236"/>
      <c r="E3" s="2237"/>
      <c r="F3" s="763"/>
      <c r="G3" s="764"/>
      <c r="H3" s="764"/>
      <c r="I3" s="764"/>
      <c r="J3" s="765"/>
      <c r="K3" s="765"/>
    </row>
    <row r="4" spans="1:11" x14ac:dyDescent="0.2">
      <c r="A4" s="2238" t="s">
        <v>369</v>
      </c>
      <c r="B4" s="2239"/>
      <c r="C4" s="2239"/>
      <c r="D4" s="2239"/>
      <c r="E4" s="2185"/>
      <c r="F4" s="766"/>
      <c r="G4" s="767"/>
      <c r="H4" s="768"/>
      <c r="I4" s="767"/>
      <c r="J4" s="769"/>
      <c r="K4" s="769"/>
    </row>
    <row r="5" spans="1:11" x14ac:dyDescent="0.2">
      <c r="A5" s="2216" t="s">
        <v>1069</v>
      </c>
      <c r="B5" s="2217"/>
      <c r="C5" s="2217"/>
      <c r="D5" s="2217"/>
      <c r="E5" s="2218"/>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6" t="s">
        <v>1811</v>
      </c>
      <c r="B10" s="2217"/>
      <c r="C10" s="2217"/>
      <c r="D10" s="2217"/>
      <c r="E10" s="2219"/>
      <c r="F10" s="783" t="s">
        <v>862</v>
      </c>
      <c r="G10" s="782"/>
      <c r="H10" s="784"/>
      <c r="I10" s="764"/>
      <c r="J10" s="765"/>
      <c r="K10" s="765"/>
    </row>
    <row r="11" spans="1:11" x14ac:dyDescent="0.2">
      <c r="A11" s="2216" t="s">
        <v>160</v>
      </c>
      <c r="B11" s="2217"/>
      <c r="C11" s="2217"/>
      <c r="D11" s="2217"/>
      <c r="E11" s="2218"/>
      <c r="F11" s="770" t="s">
        <v>852</v>
      </c>
      <c r="G11" s="771"/>
      <c r="H11" s="764"/>
      <c r="I11" s="764"/>
      <c r="J11" s="765"/>
      <c r="K11" s="773"/>
    </row>
    <row r="12" spans="1:11" ht="13.5" thickBot="1" x14ac:dyDescent="0.25">
      <c r="A12" s="2243" t="s">
        <v>905</v>
      </c>
      <c r="B12" s="2244"/>
      <c r="C12" s="2244"/>
      <c r="D12" s="2244"/>
      <c r="E12" s="2245"/>
      <c r="F12" s="1757"/>
      <c r="G12" s="1758">
        <f>SUM(G5:G11)</f>
        <v>0</v>
      </c>
      <c r="H12" s="1758">
        <f>SUM(H5:H11)</f>
        <v>0</v>
      </c>
      <c r="I12" s="1758">
        <f>SUM(I5:I11)</f>
        <v>0</v>
      </c>
      <c r="J12" s="1758">
        <f>SUM(J5:J11)</f>
        <v>0</v>
      </c>
      <c r="K12" s="1758">
        <f>SUM(K5:K11)</f>
        <v>0</v>
      </c>
    </row>
    <row r="13" spans="1:11" ht="13.5" thickTop="1" x14ac:dyDescent="0.2">
      <c r="A13" s="2240" t="s">
        <v>370</v>
      </c>
      <c r="B13" s="2241"/>
      <c r="C13" s="2241"/>
      <c r="D13" s="2241"/>
      <c r="E13" s="2242"/>
      <c r="F13" s="785"/>
      <c r="G13" s="786"/>
      <c r="H13" s="787"/>
      <c r="I13" s="788"/>
      <c r="J13" s="788"/>
      <c r="K13" s="788"/>
    </row>
    <row r="14" spans="1:11" x14ac:dyDescent="0.2">
      <c r="A14" s="2223" t="s">
        <v>456</v>
      </c>
      <c r="B14" s="2223"/>
      <c r="C14" s="2223"/>
      <c r="D14" s="2223"/>
      <c r="E14" s="2224"/>
      <c r="F14" s="789" t="s">
        <v>854</v>
      </c>
      <c r="G14" s="782"/>
      <c r="H14" s="764"/>
      <c r="I14" s="771"/>
      <c r="J14" s="773"/>
      <c r="K14" s="765"/>
    </row>
    <row r="15" spans="1:11" x14ac:dyDescent="0.2">
      <c r="A15" s="2217" t="s">
        <v>4</v>
      </c>
      <c r="B15" s="2217"/>
      <c r="C15" s="2217"/>
      <c r="D15" s="2217"/>
      <c r="E15" s="2218"/>
      <c r="F15" s="789" t="s">
        <v>855</v>
      </c>
      <c r="G15" s="771"/>
      <c r="H15" s="764"/>
      <c r="I15" s="764"/>
      <c r="J15" s="765"/>
      <c r="K15" s="765"/>
    </row>
    <row r="16" spans="1:11" x14ac:dyDescent="0.2">
      <c r="A16" s="2217" t="s">
        <v>298</v>
      </c>
      <c r="B16" s="2217"/>
      <c r="C16" s="2217"/>
      <c r="D16" s="2217"/>
      <c r="E16" s="2218"/>
      <c r="F16" s="789" t="s">
        <v>923</v>
      </c>
      <c r="G16" s="772"/>
      <c r="H16" s="767"/>
      <c r="I16" s="767"/>
      <c r="J16" s="769"/>
      <c r="K16" s="769"/>
    </row>
    <row r="17" spans="1:11" x14ac:dyDescent="0.2">
      <c r="A17" s="2248" t="s">
        <v>935</v>
      </c>
      <c r="B17" s="2248"/>
      <c r="C17" s="2248"/>
      <c r="D17" s="2248"/>
      <c r="E17" s="2249"/>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25" t="s">
        <v>1807</v>
      </c>
      <c r="B19" s="2225"/>
      <c r="C19" s="2225"/>
      <c r="D19" s="2225"/>
      <c r="E19" s="2226"/>
      <c r="F19" s="789" t="s">
        <v>933</v>
      </c>
      <c r="G19" s="782"/>
      <c r="H19" s="782"/>
      <c r="I19" s="782"/>
      <c r="J19" s="765"/>
      <c r="K19" s="795"/>
    </row>
    <row r="20" spans="1:11" x14ac:dyDescent="0.2">
      <c r="A20" s="2227" t="s">
        <v>1812</v>
      </c>
      <c r="B20" s="2228"/>
      <c r="C20" s="2228"/>
      <c r="D20" s="2228"/>
      <c r="E20" s="2229"/>
      <c r="F20" s="789" t="s">
        <v>934</v>
      </c>
      <c r="G20" s="782"/>
      <c r="H20" s="782"/>
      <c r="I20" s="782"/>
      <c r="J20" s="765"/>
      <c r="K20" s="795"/>
    </row>
    <row r="21" spans="1:11" ht="13.5" thickBot="1" x14ac:dyDescent="0.25">
      <c r="A21" s="2246" t="s">
        <v>638</v>
      </c>
      <c r="B21" s="2246"/>
      <c r="C21" s="2246"/>
      <c r="D21" s="2246"/>
      <c r="E21" s="2246"/>
      <c r="F21" s="1759"/>
      <c r="G21" s="792"/>
      <c r="H21" s="796"/>
      <c r="I21" s="796"/>
      <c r="J21" s="1760">
        <f>SUM(J18:J20)</f>
        <v>0</v>
      </c>
      <c r="K21" s="793"/>
    </row>
    <row r="22" spans="1:11" ht="13.5" thickTop="1" x14ac:dyDescent="0.2">
      <c r="A22" s="2217" t="s">
        <v>1813</v>
      </c>
      <c r="B22" s="2217"/>
      <c r="C22" s="2217"/>
      <c r="D22" s="2217"/>
      <c r="E22" s="2218"/>
      <c r="F22" s="789" t="s">
        <v>862</v>
      </c>
      <c r="G22" s="782"/>
      <c r="H22" s="764"/>
      <c r="I22" s="764"/>
      <c r="J22" s="797"/>
      <c r="K22" s="765"/>
    </row>
    <row r="23" spans="1:11" ht="13.5" thickBot="1" x14ac:dyDescent="0.25">
      <c r="A23" s="2247" t="s">
        <v>906</v>
      </c>
      <c r="B23" s="2246"/>
      <c r="C23" s="2246"/>
      <c r="D23" s="2246"/>
      <c r="E23" s="2246"/>
      <c r="F23" s="1761"/>
      <c r="G23" s="1758">
        <f>SUM(G14:G16,G21,G22)</f>
        <v>0</v>
      </c>
      <c r="H23" s="1758">
        <f>SUM(H14:H16,H21,H22)</f>
        <v>0</v>
      </c>
      <c r="I23" s="1758">
        <f>SUM(I14:I16,I21,I22)</f>
        <v>0</v>
      </c>
      <c r="J23" s="1758">
        <f>SUM(J14:J16,J21,J22)</f>
        <v>0</v>
      </c>
      <c r="K23" s="1758">
        <f>SUM(K14:K16,K21,K22)</f>
        <v>0</v>
      </c>
    </row>
    <row r="24" spans="1:11" ht="14.25" thickTop="1" thickBot="1" x14ac:dyDescent="0.25">
      <c r="A24" s="2247" t="s">
        <v>1962</v>
      </c>
      <c r="B24" s="2246"/>
      <c r="C24" s="2246"/>
      <c r="D24" s="2246"/>
      <c r="E24" s="2246"/>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1907</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0"/>
      <c r="I31" s="2221"/>
      <c r="J31" s="2221"/>
      <c r="K31" s="2221"/>
    </row>
    <row r="32" spans="1:11" x14ac:dyDescent="0.2">
      <c r="A32" s="809"/>
      <c r="B32" s="237"/>
      <c r="C32" s="237"/>
      <c r="D32" s="237"/>
      <c r="E32" s="805"/>
      <c r="F32" s="811" t="s">
        <v>540</v>
      </c>
      <c r="G32" s="764"/>
      <c r="H32" s="2222"/>
      <c r="I32" s="2221"/>
      <c r="J32" s="2221"/>
      <c r="K32" s="2221"/>
    </row>
    <row r="33" spans="1:11" ht="1.5" customHeight="1" x14ac:dyDescent="0.2">
      <c r="A33" s="812" t="s">
        <v>1169</v>
      </c>
      <c r="B33" s="364"/>
      <c r="C33" s="364"/>
      <c r="D33" s="364"/>
      <c r="E33" s="364"/>
      <c r="F33" s="364"/>
      <c r="G33" s="813"/>
      <c r="H33" s="2222"/>
      <c r="I33" s="2221"/>
      <c r="J33" s="2221"/>
      <c r="K33" s="2221"/>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30"/>
      <c r="C41" s="2230"/>
      <c r="D41" s="2230"/>
      <c r="E41" s="2230"/>
      <c r="F41" s="223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1808</v>
      </c>
      <c r="B46" s="408" t="s">
        <v>1675</v>
      </c>
    </row>
    <row r="47" spans="1:11" s="823" customFormat="1" ht="12.75" customHeight="1" x14ac:dyDescent="0.2">
      <c r="A47" s="821"/>
      <c r="B47" s="822" t="s">
        <v>1676</v>
      </c>
      <c r="E47" s="822"/>
      <c r="K47" s="824"/>
    </row>
    <row r="48" spans="1:11" ht="12.75" customHeight="1" x14ac:dyDescent="0.2">
      <c r="A48" s="1532" t="s">
        <v>1809</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8" sqref="I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1906</v>
      </c>
      <c r="B1" s="2253"/>
      <c r="C1" s="2254"/>
      <c r="D1" s="826"/>
      <c r="E1" s="827"/>
      <c r="F1" s="827"/>
      <c r="G1" s="828"/>
      <c r="H1" s="829"/>
      <c r="I1" s="830"/>
      <c r="J1" s="2250"/>
      <c r="K1" s="2251"/>
      <c r="L1" s="2251"/>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c r="D8" s="844">
        <v>445320</v>
      </c>
      <c r="E8" s="844"/>
      <c r="F8" s="1760">
        <f>(C8+D8)-E8</f>
        <v>445320</v>
      </c>
      <c r="G8" s="843">
        <v>50</v>
      </c>
      <c r="H8" s="765"/>
      <c r="I8" s="765">
        <v>8906</v>
      </c>
      <c r="J8" s="765"/>
      <c r="K8" s="1769">
        <f>(H8+I8)-J8</f>
        <v>8906</v>
      </c>
      <c r="L8" s="1769">
        <f>F8-K8</f>
        <v>436414</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1131227</v>
      </c>
      <c r="D12" s="844">
        <v>63623</v>
      </c>
      <c r="E12" s="844"/>
      <c r="F12" s="1760">
        <f>(C12+D12)-E12</f>
        <v>1194850</v>
      </c>
      <c r="G12" s="843">
        <v>10</v>
      </c>
      <c r="H12" s="765">
        <v>976533</v>
      </c>
      <c r="I12" s="765">
        <v>85915</v>
      </c>
      <c r="J12" s="765"/>
      <c r="K12" s="1769">
        <f>(H12+I12)-J12</f>
        <v>1062448</v>
      </c>
      <c r="L12" s="1769">
        <f>F12-K12</f>
        <v>132402</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1131227</v>
      </c>
      <c r="D16" s="1760">
        <f>SUM(D3,D5:D6,D8:D10,D12:D15)</f>
        <v>508943</v>
      </c>
      <c r="E16" s="1760">
        <f>SUM(E3,E5:E6,E8:E10,E12:E15)</f>
        <v>0</v>
      </c>
      <c r="F16" s="1760">
        <f>SUM(F3,F5:F6,F8:F10,F12:F15)</f>
        <v>1640170</v>
      </c>
      <c r="G16" s="843"/>
      <c r="H16" s="1760">
        <f>SUM(H3,H6,H8:H10,H12:H14,)</f>
        <v>976533</v>
      </c>
      <c r="I16" s="1760">
        <f>SUM(I3,I6,I8:I10,I12:I14,)</f>
        <v>94821</v>
      </c>
      <c r="J16" s="1760">
        <f>SUM(J3,J6,J8:J10,J12:J14,)</f>
        <v>0</v>
      </c>
      <c r="K16" s="1760">
        <f>(H16+I16)-J16</f>
        <v>1071354</v>
      </c>
      <c r="L16" s="1760">
        <f>F16-K16</f>
        <v>568816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94821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6" activePane="bottomLeft" state="frozen"/>
      <selection activeCell="A47" sqref="A47"/>
      <selection pane="bottomLeft" activeCell="I6" sqref="I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1972</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5173590</v>
      </c>
      <c r="G8" s="865"/>
    </row>
    <row r="9" spans="1:7" x14ac:dyDescent="0.2">
      <c r="A9" s="869" t="s">
        <v>460</v>
      </c>
      <c r="B9" s="870" t="s">
        <v>1874</v>
      </c>
      <c r="C9" s="871"/>
      <c r="D9" s="869" t="s">
        <v>501</v>
      </c>
      <c r="E9" s="868"/>
      <c r="F9" s="1909">
        <f>'Expenditures 15-22'!K151</f>
        <v>0</v>
      </c>
      <c r="G9" s="872"/>
    </row>
    <row r="10" spans="1:7" x14ac:dyDescent="0.2">
      <c r="A10" s="869" t="s">
        <v>499</v>
      </c>
      <c r="B10" s="870" t="s">
        <v>1875</v>
      </c>
      <c r="C10" s="871"/>
      <c r="D10" s="869" t="s">
        <v>501</v>
      </c>
      <c r="E10" s="868"/>
      <c r="F10" s="1909">
        <f>'Expenditures 15-22'!K174</f>
        <v>0</v>
      </c>
      <c r="G10" s="872"/>
    </row>
    <row r="11" spans="1:7" x14ac:dyDescent="0.2">
      <c r="A11" s="869" t="s">
        <v>461</v>
      </c>
      <c r="B11" s="870" t="s">
        <v>1876</v>
      </c>
      <c r="C11" s="871"/>
      <c r="D11" s="869" t="s">
        <v>501</v>
      </c>
      <c r="E11" s="868"/>
      <c r="F11" s="1909">
        <f>'Expenditures 15-22'!K210</f>
        <v>0</v>
      </c>
      <c r="G11" s="872"/>
    </row>
    <row r="12" spans="1:7" x14ac:dyDescent="0.2">
      <c r="A12" s="869" t="s">
        <v>462</v>
      </c>
      <c r="B12" s="870" t="s">
        <v>1877</v>
      </c>
      <c r="C12" s="871"/>
      <c r="D12" s="869" t="s">
        <v>501</v>
      </c>
      <c r="E12" s="868"/>
      <c r="F12" s="1909">
        <f>'Expenditures 15-22'!K295</f>
        <v>0</v>
      </c>
      <c r="G12" s="872"/>
    </row>
    <row r="13" spans="1:7" x14ac:dyDescent="0.2">
      <c r="A13" s="869" t="s">
        <v>106</v>
      </c>
      <c r="B13" s="870" t="s">
        <v>1878</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5173590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4">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1999</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61831</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311705</v>
      </c>
      <c r="G53" s="865"/>
    </row>
    <row r="54" spans="1:7" x14ac:dyDescent="0.2">
      <c r="A54" s="869" t="s">
        <v>459</v>
      </c>
      <c r="B54" s="869" t="s">
        <v>1476</v>
      </c>
      <c r="C54" s="889" t="s">
        <v>982</v>
      </c>
      <c r="D54" s="885" t="s">
        <v>1095</v>
      </c>
      <c r="E54" s="868"/>
      <c r="F54" s="1913">
        <f>'Expenditures 15-22'!G114</f>
        <v>63623</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3">
        <f>'Expenditures 15-22'!K139</f>
        <v>0</v>
      </c>
      <c r="G57" s="865"/>
    </row>
    <row r="58" spans="1:7" x14ac:dyDescent="0.2">
      <c r="A58" s="869" t="s">
        <v>460</v>
      </c>
      <c r="B58" s="869" t="s">
        <v>1880</v>
      </c>
      <c r="C58" s="886" t="s">
        <v>982</v>
      </c>
      <c r="D58" s="885" t="s">
        <v>1095</v>
      </c>
      <c r="E58" s="868"/>
      <c r="F58" s="1915">
        <f>'Expenditures 15-22'!G151</f>
        <v>0</v>
      </c>
      <c r="G58" s="865"/>
    </row>
    <row r="59" spans="1:7" x14ac:dyDescent="0.2">
      <c r="A59" s="893" t="s">
        <v>460</v>
      </c>
      <c r="B59" s="856" t="s">
        <v>1881</v>
      </c>
      <c r="C59" s="894" t="s">
        <v>982</v>
      </c>
      <c r="D59" s="856" t="s">
        <v>291</v>
      </c>
      <c r="F59" s="1916">
        <f>'Expenditures 15-22'!I151</f>
        <v>0</v>
      </c>
      <c r="G59" s="865"/>
    </row>
    <row r="60" spans="1:7" x14ac:dyDescent="0.2">
      <c r="A60" s="893" t="s">
        <v>499</v>
      </c>
      <c r="B60" s="856" t="s">
        <v>1882</v>
      </c>
      <c r="C60" s="894">
        <v>4000</v>
      </c>
      <c r="D60" s="856" t="s">
        <v>312</v>
      </c>
      <c r="F60" s="1914">
        <f>'Expenditures 15-22'!K160</f>
        <v>0</v>
      </c>
      <c r="G60" s="865"/>
    </row>
    <row r="61" spans="1:7" x14ac:dyDescent="0.2">
      <c r="A61" s="895" t="s">
        <v>499</v>
      </c>
      <c r="B61" s="895" t="s">
        <v>1883</v>
      </c>
      <c r="C61" s="896" t="str">
        <f>'Expenditures 15-22'!B170</f>
        <v>5300</v>
      </c>
      <c r="D61" s="897" t="s">
        <v>311</v>
      </c>
      <c r="E61" s="879"/>
      <c r="F61" s="1913">
        <f>'Expenditures 15-22'!K170</f>
        <v>0</v>
      </c>
      <c r="G61" s="865"/>
    </row>
    <row r="62" spans="1:7" x14ac:dyDescent="0.2">
      <c r="A62" s="869" t="s">
        <v>461</v>
      </c>
      <c r="B62" s="869" t="s">
        <v>1884</v>
      </c>
      <c r="C62" s="886">
        <f>'Expenditures 15-22'!B185</f>
        <v>3000</v>
      </c>
      <c r="D62" s="876" t="s">
        <v>449</v>
      </c>
      <c r="E62" s="868"/>
      <c r="F62" s="1913">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1886</v>
      </c>
      <c r="C64" s="896" t="str">
        <f>'Expenditures 15-22'!B206</f>
        <v>5300</v>
      </c>
      <c r="D64" s="892" t="s">
        <v>311</v>
      </c>
      <c r="E64" s="868"/>
      <c r="F64" s="1913">
        <f>'Expenditures 15-22'!K206</f>
        <v>0</v>
      </c>
      <c r="G64" s="865"/>
    </row>
    <row r="65" spans="1:8" x14ac:dyDescent="0.2">
      <c r="A65" s="869" t="s">
        <v>461</v>
      </c>
      <c r="B65" s="869" t="s">
        <v>1887</v>
      </c>
      <c r="C65" s="886" t="s">
        <v>982</v>
      </c>
      <c r="D65" s="885" t="s">
        <v>1095</v>
      </c>
      <c r="E65" s="868"/>
      <c r="F65" s="1913">
        <f>'Expenditures 15-22'!G210</f>
        <v>0</v>
      </c>
      <c r="G65" s="865"/>
    </row>
    <row r="66" spans="1:8" x14ac:dyDescent="0.2">
      <c r="A66" s="869" t="s">
        <v>461</v>
      </c>
      <c r="B66" s="869" t="s">
        <v>1888</v>
      </c>
      <c r="C66" s="886" t="s">
        <v>982</v>
      </c>
      <c r="D66" s="885" t="s">
        <v>291</v>
      </c>
      <c r="E66" s="868"/>
      <c r="F66" s="1913">
        <f>'Expenditures 15-22'!I210</f>
        <v>0</v>
      </c>
      <c r="G66" s="865"/>
    </row>
    <row r="67" spans="1:8" x14ac:dyDescent="0.2">
      <c r="A67" s="869" t="s">
        <v>462</v>
      </c>
      <c r="B67" s="869" t="s">
        <v>1889</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1891</v>
      </c>
      <c r="C70" s="886">
        <f>'Expenditures 15-22'!B221</f>
        <v>1300</v>
      </c>
      <c r="D70" s="887" t="str">
        <f>'Expenditures 15-22'!A221</f>
        <v>Adult/Continuing Education Programs</v>
      </c>
      <c r="E70" s="868"/>
      <c r="F70" s="1913">
        <f>'Expenditures 15-22'!K221</f>
        <v>0</v>
      </c>
      <c r="G70" s="865"/>
    </row>
    <row r="71" spans="1:8" x14ac:dyDescent="0.2">
      <c r="A71" s="869" t="s">
        <v>462</v>
      </c>
      <c r="B71" s="869" t="s">
        <v>1892</v>
      </c>
      <c r="C71" s="886">
        <f>'Expenditures 15-22'!B224</f>
        <v>1600</v>
      </c>
      <c r="D71" s="887" t="str">
        <f>'Expenditures 15-22'!A224</f>
        <v>Summer School Programs</v>
      </c>
      <c r="E71" s="868"/>
      <c r="F71" s="1913">
        <f>'Expenditures 15-22'!K224</f>
        <v>0</v>
      </c>
      <c r="G71" s="865"/>
    </row>
    <row r="72" spans="1:8" x14ac:dyDescent="0.2">
      <c r="A72" s="869" t="s">
        <v>462</v>
      </c>
      <c r="B72" s="869" t="s">
        <v>1893</v>
      </c>
      <c r="C72" s="886">
        <f>'Expenditures 15-22'!B280</f>
        <v>3000</v>
      </c>
      <c r="D72" s="876" t="s">
        <v>449</v>
      </c>
      <c r="E72" s="868"/>
      <c r="F72" s="1913">
        <f>'Expenditures 15-22'!K280</f>
        <v>0</v>
      </c>
      <c r="G72" s="865"/>
    </row>
    <row r="73" spans="1:8" x14ac:dyDescent="0.2">
      <c r="A73" s="869" t="s">
        <v>462</v>
      </c>
      <c r="B73" s="869" t="s">
        <v>1894</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1895</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1896</v>
      </c>
      <c r="E76" s="1774" t="s">
        <v>958</v>
      </c>
      <c r="F76" s="1778">
        <f>SUM(F18:F74)</f>
        <v>437159</v>
      </c>
      <c r="G76" s="865"/>
    </row>
    <row r="77" spans="1:8" s="893" customFormat="1" ht="12" customHeight="1" thickTop="1" thickBot="1" x14ac:dyDescent="0.25">
      <c r="A77" s="1779"/>
      <c r="B77" s="1776"/>
      <c r="C77" s="1772"/>
      <c r="D77" s="1777" t="s">
        <v>1897</v>
      </c>
      <c r="E77" s="1774"/>
      <c r="F77" s="1780">
        <f>(F14-F76)</f>
        <v>4736431</v>
      </c>
      <c r="G77" s="869"/>
    </row>
    <row r="78" spans="1:8" s="893" customFormat="1" ht="12" customHeight="1" thickTop="1" x14ac:dyDescent="0.2">
      <c r="A78" s="1781"/>
      <c r="B78" s="1776"/>
      <c r="C78" s="1772"/>
      <c r="D78" s="1777" t="s">
        <v>2059</v>
      </c>
      <c r="E78" s="1774"/>
      <c r="F78" s="898">
        <v>0</v>
      </c>
      <c r="G78" s="899"/>
      <c r="H78" s="869"/>
    </row>
    <row r="79" spans="1:8" s="893" customFormat="1" ht="12" customHeight="1" thickBot="1" x14ac:dyDescent="0.25">
      <c r="A79" s="1782"/>
      <c r="B79" s="1776"/>
      <c r="C79" s="1772"/>
      <c r="D79" s="1777" t="s">
        <v>1898</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2211</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1650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2462549</v>
      </c>
      <c r="G104" s="912"/>
    </row>
    <row r="105" spans="1:7" x14ac:dyDescent="0.2">
      <c r="A105" s="908" t="s">
        <v>503</v>
      </c>
      <c r="B105" s="908" t="s">
        <v>2000</v>
      </c>
      <c r="C105" s="913">
        <v>3100</v>
      </c>
      <c r="D105" s="919" t="str">
        <f>'Revenues 9-14'!A132</f>
        <v>Total Special Education</v>
      </c>
      <c r="E105" s="906"/>
      <c r="F105" s="1789">
        <f>SUM('Revenues 9-14'!C132:D132,'Revenues 9-14'!F132)</f>
        <v>0</v>
      </c>
      <c r="G105" s="912"/>
    </row>
    <row r="106" spans="1:7" x14ac:dyDescent="0.2">
      <c r="A106" s="908" t="s">
        <v>673</v>
      </c>
      <c r="B106" s="908" t="s">
        <v>2001</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2002</v>
      </c>
      <c r="C107" s="920">
        <v>3300</v>
      </c>
      <c r="D107" s="911" t="str">
        <f>'Revenues 9-14'!A145</f>
        <v>Total Bilingual Ed</v>
      </c>
      <c r="E107" s="906"/>
      <c r="F107" s="1789">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9">
        <f>'Revenues 9-14'!C146</f>
        <v>434</v>
      </c>
      <c r="G108" s="912"/>
    </row>
    <row r="109" spans="1:7" x14ac:dyDescent="0.2">
      <c r="A109" s="908" t="s">
        <v>673</v>
      </c>
      <c r="B109" s="908" t="s">
        <v>2004</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9">
        <f>SUM('Revenues 9-14'!C148,'Revenues 9-14'!D148)</f>
        <v>0</v>
      </c>
      <c r="G110" s="912"/>
    </row>
    <row r="111" spans="1:7" x14ac:dyDescent="0.2">
      <c r="A111" s="908" t="s">
        <v>668</v>
      </c>
      <c r="B111" s="908" t="s">
        <v>2006</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2007</v>
      </c>
      <c r="C112" s="920">
        <f>'Revenues 9-14'!B156</f>
        <v>3610</v>
      </c>
      <c r="D112" s="911" t="str">
        <f>'Revenues 9-14'!A156</f>
        <v>Learning Improvement - Change Grants</v>
      </c>
      <c r="E112" s="906"/>
      <c r="F112" s="1789">
        <f>'Revenues 9-14'!C156</f>
        <v>0</v>
      </c>
      <c r="G112" s="912"/>
    </row>
    <row r="113" spans="1:7" x14ac:dyDescent="0.2">
      <c r="A113" s="908" t="s">
        <v>668</v>
      </c>
      <c r="B113" s="908" t="s">
        <v>2008</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7">
        <f>SUM('Revenues 9-14'!C163:G163)</f>
        <v>0</v>
      </c>
      <c r="G118" s="912"/>
    </row>
    <row r="119" spans="1:7" x14ac:dyDescent="0.2">
      <c r="A119" s="923" t="s">
        <v>504</v>
      </c>
      <c r="B119" s="923" t="s">
        <v>2014</v>
      </c>
      <c r="C119" s="924">
        <f>'Revenues 9-14'!B164</f>
        <v>3815</v>
      </c>
      <c r="D119" s="925" t="str">
        <f>'Revenues 9-14'!A164</f>
        <v>State Charter Schools</v>
      </c>
      <c r="E119" s="906"/>
      <c r="F119" s="1907">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9">
        <f>'Revenues 9-14'!D167</f>
        <v>0</v>
      </c>
      <c r="G120" s="930"/>
    </row>
    <row r="121" spans="1:7" x14ac:dyDescent="0.2">
      <c r="A121" s="927" t="s">
        <v>500</v>
      </c>
      <c r="B121" s="927" t="s">
        <v>2016</v>
      </c>
      <c r="C121" s="928">
        <f>'Revenues 9-14'!B168</f>
        <v>3999</v>
      </c>
      <c r="D121" s="929" t="s">
        <v>543</v>
      </c>
      <c r="E121" s="931"/>
      <c r="F121" s="1789">
        <f>SUM('Revenues 9-14'!C168:G168,'Revenues 9-14'!J168)</f>
        <v>0</v>
      </c>
      <c r="G121" s="930"/>
    </row>
    <row r="122" spans="1:7" x14ac:dyDescent="0.2">
      <c r="A122" s="927" t="s">
        <v>459</v>
      </c>
      <c r="B122" s="927" t="s">
        <v>2017</v>
      </c>
      <c r="C122" s="932">
        <f>'Revenues 9-14'!B177</f>
        <v>4045</v>
      </c>
      <c r="D122" s="929" t="str">
        <f>'Revenues 9-14'!A177 &amp; " (Subtract)"</f>
        <v>Head Start (Subtract)</v>
      </c>
      <c r="E122" s="906"/>
      <c r="F122" s="1789">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2019</v>
      </c>
      <c r="C124" s="932">
        <v>4100</v>
      </c>
      <c r="D124" s="933" t="str">
        <f>'Revenues 9-14'!A188</f>
        <v>Total Title V</v>
      </c>
      <c r="E124" s="906"/>
      <c r="F124" s="1789">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9">
        <f>SUM('Revenues 9-14'!C198,'Revenues 9-14'!G198)</f>
        <v>20173</v>
      </c>
      <c r="G125" s="930"/>
    </row>
    <row r="126" spans="1:7" x14ac:dyDescent="0.2">
      <c r="A126" s="927" t="s">
        <v>668</v>
      </c>
      <c r="B126" s="927" t="s">
        <v>2021</v>
      </c>
      <c r="C126" s="932">
        <v>4300</v>
      </c>
      <c r="D126" s="933" t="str">
        <f>'Revenues 9-14'!A204</f>
        <v>Total Title I</v>
      </c>
      <c r="E126" s="906"/>
      <c r="F126" s="1789">
        <f>SUM('Revenues 9-14'!C204,'Revenues 9-14'!D204,'Revenues 9-14'!F204,'Revenues 9-14'!G204)</f>
        <v>0</v>
      </c>
      <c r="G126" s="930"/>
    </row>
    <row r="127" spans="1:7" x14ac:dyDescent="0.2">
      <c r="A127" s="927" t="s">
        <v>668</v>
      </c>
      <c r="B127" s="927" t="s">
        <v>2022</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2023</v>
      </c>
      <c r="C128" s="932">
        <f>'Revenues 9-14'!B213</f>
        <v>4620</v>
      </c>
      <c r="D128" s="933" t="str">
        <f>'Revenues 9-14'!A213</f>
        <v>Fed - Spec Education - IDEA - Flow Through</v>
      </c>
      <c r="E128" s="906"/>
      <c r="F128" s="1789">
        <f>SUM('Revenues 9-14'!C213:D213,'Revenues 9-14'!F213:G213)</f>
        <v>1310628</v>
      </c>
      <c r="G128" s="930"/>
    </row>
    <row r="129" spans="1:7" x14ac:dyDescent="0.2">
      <c r="A129" s="927" t="s">
        <v>668</v>
      </c>
      <c r="B129" s="927" t="s">
        <v>2024</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2025</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2026</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2027</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9">
        <v>0</v>
      </c>
      <c r="G138" s="905"/>
    </row>
    <row r="139" spans="1:7" s="867" customFormat="1" hidden="1" x14ac:dyDescent="0.2">
      <c r="A139" s="934" t="s">
        <v>206</v>
      </c>
      <c r="B139" s="934" t="s">
        <v>2033</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2038</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2041</v>
      </c>
      <c r="C157" s="940" t="s">
        <v>841</v>
      </c>
      <c r="D157" s="941" t="s">
        <v>777</v>
      </c>
      <c r="E157" s="942"/>
      <c r="F157" s="1789">
        <f>SUM(F133:F156)</f>
        <v>0</v>
      </c>
      <c r="G157" s="905"/>
    </row>
    <row r="158" spans="1:7" s="867" customFormat="1" x14ac:dyDescent="0.2">
      <c r="A158" s="938" t="s">
        <v>459</v>
      </c>
      <c r="B158" s="939" t="s">
        <v>2042</v>
      </c>
      <c r="C158" s="940" t="s">
        <v>1427</v>
      </c>
      <c r="D158" s="941" t="s">
        <v>1428</v>
      </c>
      <c r="E158" s="942"/>
      <c r="F158" s="1789">
        <f>SUM('Revenues 9-14'!C253)</f>
        <v>0</v>
      </c>
      <c r="G158" s="905"/>
    </row>
    <row r="159" spans="1:7" s="867" customFormat="1" x14ac:dyDescent="0.2">
      <c r="A159" s="938" t="s">
        <v>500</v>
      </c>
      <c r="B159" s="939" t="s">
        <v>2043</v>
      </c>
      <c r="C159" s="940" t="s">
        <v>1466</v>
      </c>
      <c r="D159" s="941" t="s">
        <v>1467</v>
      </c>
      <c r="E159" s="942"/>
      <c r="F159" s="1789">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2046</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2049</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9">
        <f>SUM('Revenues 9-14'!C263:D263,'Revenues 9-14'!F263:G263)</f>
        <v>63821</v>
      </c>
      <c r="G168" s="947">
        <v>6320</v>
      </c>
    </row>
    <row r="169" spans="1:7" x14ac:dyDescent="0.2">
      <c r="A169" s="927" t="s">
        <v>668</v>
      </c>
      <c r="B169" s="927" t="s">
        <v>2051</v>
      </c>
      <c r="C169" s="932">
        <f>'Revenues 9-14'!B264</f>
        <v>4992</v>
      </c>
      <c r="D169" s="933" t="str">
        <f>'Revenues 9-14'!A264</f>
        <v>Medicaid Matching Funds - Fee-for-Service Program</v>
      </c>
      <c r="E169" s="906"/>
      <c r="F169" s="1789">
        <f>SUM('Revenues 9-14'!C264:D264,'Revenues 9-14'!F264:G264)</f>
        <v>57703</v>
      </c>
      <c r="G169" s="947"/>
    </row>
    <row r="170" spans="1:7" x14ac:dyDescent="0.2">
      <c r="A170" s="948" t="s">
        <v>668</v>
      </c>
      <c r="B170" s="944" t="s">
        <v>2052</v>
      </c>
      <c r="C170" s="945">
        <f>'Revenues 9-14'!B265</f>
        <v>4999</v>
      </c>
      <c r="D170" s="946" t="str">
        <f>'Revenues 9-14'!A265</f>
        <v>Other Restricted Revenue from Federal Sources (Describe &amp; Itemize)</v>
      </c>
      <c r="E170" s="906"/>
      <c r="F170" s="1789">
        <f>SUM('Revenues 9-14'!C265:D265,'Revenues 9-14'!F265:G265)</f>
        <v>67242</v>
      </c>
      <c r="G170" s="927"/>
    </row>
    <row r="171" spans="1:7" x14ac:dyDescent="0.2">
      <c r="A171" s="1918" t="s">
        <v>5</v>
      </c>
      <c r="B171" s="1919" t="s">
        <v>1917</v>
      </c>
      <c r="C171" s="1920">
        <v>3100</v>
      </c>
      <c r="D171" s="1921" t="s">
        <v>1919</v>
      </c>
      <c r="E171" s="906"/>
      <c r="F171" s="1906"/>
      <c r="G171" s="927"/>
    </row>
    <row r="172" spans="1:7" x14ac:dyDescent="0.2">
      <c r="A172" s="1918" t="s">
        <v>664</v>
      </c>
      <c r="B172" s="1919" t="s">
        <v>1917</v>
      </c>
      <c r="C172" s="1920">
        <v>3300</v>
      </c>
      <c r="D172" s="1921" t="s">
        <v>1920</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2053</v>
      </c>
      <c r="E174" s="1787" t="s">
        <v>958</v>
      </c>
      <c r="F174" s="1788">
        <f>SUM(F84:F132,F157:F172)</f>
        <v>3986411</v>
      </c>
    </row>
    <row r="175" spans="1:7" ht="12" customHeight="1" x14ac:dyDescent="0.2">
      <c r="A175" s="1770"/>
      <c r="B175" s="1784"/>
      <c r="C175" s="1785"/>
      <c r="D175" s="1786" t="s">
        <v>2054</v>
      </c>
      <c r="E175" s="1787"/>
      <c r="F175" s="1789">
        <f>'PCTC-OEPP 27-28'!F77-F174</f>
        <v>750020</v>
      </c>
    </row>
    <row r="176" spans="1:7" ht="12" customHeight="1" x14ac:dyDescent="0.2">
      <c r="A176" s="1770"/>
      <c r="B176" s="1784"/>
      <c r="C176" s="1785"/>
      <c r="D176" s="1786" t="s">
        <v>1815</v>
      </c>
      <c r="E176" s="1787"/>
      <c r="F176" s="1789">
        <f>'Cap Outlay Deprec 26'!I18</f>
        <v>94821</v>
      </c>
    </row>
    <row r="177" spans="1:7" ht="12" customHeight="1" x14ac:dyDescent="0.2">
      <c r="A177" s="1770"/>
      <c r="B177" s="1784"/>
      <c r="C177" s="1785"/>
      <c r="D177" s="1786" t="s">
        <v>2055</v>
      </c>
      <c r="E177" s="1787"/>
      <c r="F177" s="1789">
        <f>F175+F176</f>
        <v>844841</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2056</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2" customFormat="1" ht="12.2" customHeight="1" x14ac:dyDescent="0.2">
      <c r="A182" s="1922" t="s">
        <v>1991</v>
      </c>
      <c r="B182" s="1923"/>
      <c r="C182" s="1924"/>
      <c r="D182" s="1923"/>
      <c r="E182" s="1924"/>
      <c r="F182" s="1923"/>
      <c r="G182" s="1923"/>
    </row>
    <row r="183" spans="1:7" s="1922" customFormat="1" ht="12.2" customHeight="1" x14ac:dyDescent="0.2">
      <c r="A183" s="1925" t="s">
        <v>1993</v>
      </c>
      <c r="C183" s="1924"/>
      <c r="D183" s="1923"/>
      <c r="E183" s="1924"/>
      <c r="F183" s="1923"/>
      <c r="G183" s="1923"/>
    </row>
    <row r="184" spans="1:7" ht="12" customHeight="1" x14ac:dyDescent="0.2">
      <c r="C184" s="949"/>
      <c r="D184" s="930"/>
      <c r="E184" s="949"/>
      <c r="F184" s="930"/>
      <c r="G184" s="930"/>
    </row>
    <row r="185" spans="1:7" x14ac:dyDescent="0.2">
      <c r="A185" s="1926" t="s">
        <v>1922</v>
      </c>
      <c r="B185" s="1927"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zoomScaleNormal="100" workbookViewId="0">
      <selection activeCell="D19" sqref="D19"/>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9" t="s">
        <v>1816</v>
      </c>
      <c r="B4" s="2270"/>
      <c r="C4" s="2270"/>
      <c r="D4" s="2270"/>
      <c r="E4" s="2270"/>
      <c r="F4" s="2270"/>
      <c r="G4" s="2271"/>
    </row>
    <row r="5" spans="1:7" x14ac:dyDescent="0.25">
      <c r="A5" s="2272"/>
      <c r="B5" s="2273"/>
      <c r="C5" s="2273"/>
      <c r="D5" s="2273"/>
      <c r="E5" s="2273"/>
      <c r="F5" s="2273"/>
      <c r="G5" s="2274"/>
    </row>
    <row r="6" spans="1:7" ht="18.75" x14ac:dyDescent="0.25">
      <c r="A6" s="1534" t="s">
        <v>1817</v>
      </c>
      <c r="B6" s="1535"/>
      <c r="C6" s="1535"/>
      <c r="D6" s="1535"/>
      <c r="E6" s="1535"/>
      <c r="F6" s="1535"/>
      <c r="G6" s="1536"/>
    </row>
    <row r="7" spans="1:7" ht="30.75" customHeight="1" x14ac:dyDescent="0.25">
      <c r="A7" s="2275" t="s">
        <v>1929</v>
      </c>
      <c r="B7" s="2276"/>
      <c r="C7" s="2276"/>
      <c r="D7" s="2276"/>
      <c r="E7" s="2276"/>
      <c r="F7" s="2276"/>
      <c r="G7" s="2277"/>
    </row>
    <row r="8" spans="1:7" ht="15.75" customHeight="1" x14ac:dyDescent="0.25">
      <c r="A8" s="2278" t="s">
        <v>1904</v>
      </c>
      <c r="B8" s="2279"/>
      <c r="C8" s="2279"/>
      <c r="D8" s="2279"/>
      <c r="E8" s="2279"/>
      <c r="F8" s="2279"/>
      <c r="G8" s="2280"/>
    </row>
    <row r="9" spans="1:7" ht="35.25" customHeight="1" x14ac:dyDescent="0.25">
      <c r="A9" s="2275" t="s">
        <v>1932</v>
      </c>
      <c r="B9" s="2276"/>
      <c r="C9" s="2276"/>
      <c r="D9" s="2276"/>
      <c r="E9" s="2276"/>
      <c r="F9" s="2276"/>
      <c r="G9" s="2277"/>
    </row>
    <row r="10" spans="1:7" ht="15" customHeight="1" x14ac:dyDescent="0.25">
      <c r="A10" s="1537" t="s">
        <v>1818</v>
      </c>
      <c r="B10" s="1538"/>
      <c r="C10" s="1538"/>
      <c r="D10" s="1538"/>
      <c r="E10" s="1538"/>
      <c r="F10" s="1538"/>
      <c r="G10" s="1539"/>
    </row>
    <row r="11" spans="1:7" ht="17.25" customHeight="1" x14ac:dyDescent="0.25">
      <c r="A11" s="2275" t="s">
        <v>1931</v>
      </c>
      <c r="B11" s="2276"/>
      <c r="C11" s="2276"/>
      <c r="D11" s="2276"/>
      <c r="E11" s="2276"/>
      <c r="F11" s="2276"/>
      <c r="G11" s="2277"/>
    </row>
    <row r="12" spans="1:7" ht="15" customHeight="1" x14ac:dyDescent="0.25">
      <c r="A12" s="1537" t="s">
        <v>1823</v>
      </c>
      <c r="B12" s="1538"/>
      <c r="C12" s="1538"/>
      <c r="D12" s="1538"/>
      <c r="E12" s="1538"/>
      <c r="F12" s="1538"/>
      <c r="G12" s="1539"/>
    </row>
    <row r="13" spans="1:7" ht="32.25" customHeight="1" x14ac:dyDescent="0.25">
      <c r="A13" s="2266" t="s">
        <v>1973</v>
      </c>
      <c r="B13" s="2267"/>
      <c r="C13" s="2267"/>
      <c r="D13" s="2267"/>
      <c r="E13" s="2267"/>
      <c r="F13" s="2267"/>
      <c r="G13" s="2268"/>
    </row>
    <row r="14" spans="1:7" x14ac:dyDescent="0.25">
      <c r="A14" s="1661" t="s">
        <v>1831</v>
      </c>
      <c r="B14" s="1662"/>
      <c r="C14" s="1662"/>
      <c r="D14" s="1662"/>
      <c r="E14" s="1662"/>
      <c r="F14" s="1662"/>
      <c r="G14" s="1663"/>
    </row>
    <row r="15" spans="1:7" ht="61.5" customHeight="1" x14ac:dyDescent="0.25">
      <c r="A15" s="1546" t="s">
        <v>1824</v>
      </c>
      <c r="B15" s="1546" t="s">
        <v>1825</v>
      </c>
      <c r="C15" s="1546" t="s">
        <v>1826</v>
      </c>
      <c r="D15" s="1547" t="s">
        <v>1827</v>
      </c>
      <c r="E15" s="1547" t="s">
        <v>1819</v>
      </c>
      <c r="F15" s="1547" t="s">
        <v>1828</v>
      </c>
      <c r="G15" s="1547" t="s">
        <v>1829</v>
      </c>
    </row>
    <row r="16" spans="1:7" x14ac:dyDescent="0.25">
      <c r="A16" s="1648" t="s">
        <v>1832</v>
      </c>
      <c r="B16" s="1649" t="s">
        <v>1822</v>
      </c>
      <c r="C16" s="1650" t="s">
        <v>1820</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2078</v>
      </c>
      <c r="B17" s="1938" t="s">
        <v>2079</v>
      </c>
      <c r="C17" s="1939" t="s">
        <v>2080</v>
      </c>
      <c r="D17" s="1844">
        <v>33000</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8000</v>
      </c>
      <c r="H17" s="1647"/>
    </row>
    <row r="18" spans="1:8" x14ac:dyDescent="0.25">
      <c r="A18" s="1937" t="s">
        <v>2078</v>
      </c>
      <c r="B18" s="1938" t="s">
        <v>2079</v>
      </c>
      <c r="C18" s="1939" t="s">
        <v>2081</v>
      </c>
      <c r="D18" s="1844">
        <v>162240</v>
      </c>
      <c r="E18" s="1540">
        <f t="shared" ref="E18:E140" si="2">IF(D18&lt;=25000,D18,IF(D18&gt;25000,25000,0))</f>
        <v>25000</v>
      </c>
      <c r="F18" s="1932">
        <f t="shared" si="1"/>
        <v>25000</v>
      </c>
      <c r="G18" s="1793">
        <f t="shared" ref="G18:G140" si="3">IF(F18=0,0,D18-F18)</f>
        <v>137240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195240</v>
      </c>
      <c r="E141" s="1541">
        <f t="shared" si="0"/>
        <v>25000</v>
      </c>
      <c r="F141" s="1933">
        <f>SUM(F17:F140)</f>
        <v>50000</v>
      </c>
      <c r="G141" s="1795">
        <f>SUM(G17:G140)</f>
        <v>145240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c r="F10" s="974"/>
      <c r="G10" s="975"/>
      <c r="H10" s="162"/>
      <c r="I10" s="162"/>
    </row>
    <row r="11" spans="1:9" s="668" customFormat="1" ht="22.5" customHeight="1" x14ac:dyDescent="0.2">
      <c r="A11" s="2286" t="s">
        <v>1974</v>
      </c>
      <c r="B11" s="2287"/>
      <c r="C11" s="2287"/>
      <c r="D11" s="2288"/>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1176453</v>
      </c>
      <c r="F19" s="1799"/>
      <c r="G19" s="1801">
        <f>'Expenditures 15-22'!K33-SUM('Expenditures 15-22'!G33,'Expenditures 15-22'!I33)+'Expenditures 15-22'!D229</f>
        <v>1176453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1986515</v>
      </c>
      <c r="F21" s="1802"/>
      <c r="G21" s="1805">
        <f>'Expenditures 15-22'!K42-SUM('Expenditures 15-22'!G42,'Expenditures 15-22'!I42)+'Expenditures 15-22'!K120-SUM('Expenditures 15-22'!G120,'Expenditures 15-22'!I120)+'Expenditures 15-22'!K180-SUM('Expenditures 15-22'!G180,'Expenditures 15-22'!I180)+'Expenditures 15-22'!D238</f>
        <v>1986515</v>
      </c>
      <c r="H21" s="987"/>
      <c r="I21" s="162"/>
    </row>
    <row r="22" spans="1:9" s="668" customFormat="1" ht="12" customHeight="1" x14ac:dyDescent="0.2">
      <c r="A22" s="994" t="s">
        <v>564</v>
      </c>
      <c r="B22" s="995"/>
      <c r="C22" s="993">
        <v>2200</v>
      </c>
      <c r="D22" s="1802"/>
      <c r="E22" s="1804">
        <f>'Expenditures 15-22'!K47-SUM('Expenditures 15-22'!G47,'Expenditures 15-22'!I47)+'Expenditures 15-22'!D243</f>
        <v>126843</v>
      </c>
      <c r="F22" s="1802"/>
      <c r="G22" s="1805">
        <f>'Expenditures 15-22'!K47-SUM('Expenditures 15-22'!G47,'Expenditures 15-22'!I47)+'Expenditures 15-22'!D243</f>
        <v>126843</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745585</v>
      </c>
      <c r="F23" s="1802"/>
      <c r="G23" s="1804">
        <f>'Expenditures 15-22'!K53-SUM('Expenditures 15-22'!G53,'Expenditures 15-22'!I53)+'Expenditures 15-22'!D257+'Expenditures 15-22'!K330-SUM('Expenditures 15-22'!G330,'Expenditures 15-22'!I330)</f>
        <v>745585</v>
      </c>
      <c r="H23" s="987"/>
      <c r="I23" s="162"/>
    </row>
    <row r="24" spans="1:9" s="668" customFormat="1" ht="12" customHeight="1" x14ac:dyDescent="0.2">
      <c r="A24" s="994" t="s">
        <v>566</v>
      </c>
      <c r="B24" s="995"/>
      <c r="C24" s="993">
        <v>2400</v>
      </c>
      <c r="D24" s="1802"/>
      <c r="E24" s="1804">
        <f>'Expenditures 15-22'!K57-SUM('Expenditures 15-22'!G57,'Expenditures 15-22'!I57)+'Expenditures 15-22'!D261</f>
        <v>211545</v>
      </c>
      <c r="F24" s="1802"/>
      <c r="G24" s="1805">
        <f>'Expenditures 15-22'!K57-SUM('Expenditures 15-22'!G57,'Expenditures 15-22'!I57)+'Expenditures 15-22'!D261</f>
        <v>211545</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78760</v>
      </c>
      <c r="E27" s="1804">
        <f>E8</f>
        <v>0</v>
      </c>
      <c r="F27" s="1804">
        <f>'Expenditures 15-22'!K60-SUM('Expenditures 15-22'!G60,'Expenditures 15-22'!I60)+'Expenditures 15-22'!D264-E8</f>
        <v>78760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259886</v>
      </c>
      <c r="F28" s="1806">
        <f>'Expenditures 15-22'!K61-SUM('Expenditures 15-22'!G61,'Expenditures 15-22'!I61)+'Expenditures 15-22'!K124-SUM('Expenditures 15-22'!G124,'Expenditures 15-22'!I124)+'Expenditures 15-22'!D266-E9</f>
        <v>259886</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16167</v>
      </c>
      <c r="F29" s="1802"/>
      <c r="G29" s="1805">
        <f>'Expenditures 15-22'!K62-SUM('Expenditures 15-22'!G62,'Expenditures 15-22'!I62)+'Expenditures 15-22'!K125-SUM('Expenditures 15-22'!G125,'Expenditures 15-22'!I125)+'Expenditures 15-22'!K182-SUM('Expenditures 15-22'!G182,'Expenditures 15-22'!I182)+'Expenditures 15-22'!D267</f>
        <v>16167</v>
      </c>
      <c r="H29" s="985"/>
    </row>
    <row r="30" spans="1:9" ht="12" customHeight="1" x14ac:dyDescent="0.2">
      <c r="A30" s="994" t="s">
        <v>100</v>
      </c>
      <c r="B30" s="997"/>
      <c r="C30" s="993">
        <v>2560</v>
      </c>
      <c r="D30" s="1802"/>
      <c r="E30" s="1804">
        <f>'Expenditures 15-22'!K63-SUM('Expenditures 15-22'!G63,'Expenditures 15-22'!I63)+'Expenditures 15-22'!D268-E10</f>
        <v>16568</v>
      </c>
      <c r="F30" s="1802"/>
      <c r="G30" s="1804">
        <f>'Expenditures 15-22'!K63-SUM('Expenditures 15-22'!G63,'Expenditures 15-22'!I63)+'Expenditures 15-22'!D268-E10</f>
        <v>16568</v>
      </c>
    </row>
    <row r="31" spans="1:9" ht="12" customHeight="1" x14ac:dyDescent="0.2">
      <c r="A31" s="994" t="s">
        <v>101</v>
      </c>
      <c r="B31" s="997"/>
      <c r="C31" s="993">
        <v>2570</v>
      </c>
      <c r="D31" s="1804">
        <f>'Expenditures 15-22'!K64-SUM('Expenditures 15-22'!G64,'Expenditures 15-22'!I64)+'Expenditures 15-22'!D269-E12</f>
        <v>13681</v>
      </c>
      <c r="E31" s="1804">
        <f>E12</f>
        <v>0</v>
      </c>
      <c r="F31" s="1804">
        <f>'Expenditures 15-22'!K64-SUM('Expenditures 15-22'!G64,'Expenditures 15-22'!I64)+'Expenditures 15-22'!D269-E12</f>
        <v>13681</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95730</v>
      </c>
      <c r="F34" s="1802"/>
      <c r="G34" s="1804">
        <f>'Expenditures 15-22'!K68-SUM('Expenditures 15-22'!G68,'Expenditures 15-22'!I68)+'Expenditures 15-22'!D273</f>
        <v>95730</v>
      </c>
    </row>
    <row r="35" spans="1:7" ht="12" customHeight="1" x14ac:dyDescent="0.2">
      <c r="A35" s="994" t="s">
        <v>1061</v>
      </c>
      <c r="B35" s="997"/>
      <c r="C35" s="993">
        <v>2630</v>
      </c>
      <c r="D35" s="1802"/>
      <c r="E35" s="1804">
        <f>'Expenditures 15-22'!K69-SUM('Expenditures 15-22'!G69,'Expenditures 15-22'!I69)+'Expenditures 15-22'!D274</f>
        <v>45369</v>
      </c>
      <c r="F35" s="1802"/>
      <c r="G35" s="1804">
        <f>'Expenditures 15-22'!K69-SUM('Expenditures 15-22'!G69,'Expenditures 15-22'!I69)+'Expenditures 15-22'!D274</f>
        <v>45369</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25160</v>
      </c>
      <c r="E37" s="1804">
        <f>E14</f>
        <v>0</v>
      </c>
      <c r="F37" s="1804">
        <f>'Expenditures 15-22'!K71-SUM('Expenditures 15-22'!G71,'Expenditures 15-22'!I71)+'Expenditures 15-22'!D276-E14</f>
        <v>25160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1821</v>
      </c>
      <c r="B40" s="991"/>
      <c r="C40" s="993"/>
      <c r="D40" s="1802"/>
      <c r="E40" s="1806">
        <f>-'Contracts Paid in CY 29'!G141</f>
        <v>-145240</v>
      </c>
      <c r="F40" s="1802"/>
      <c r="G40" s="1806">
        <f>-'Contracts Paid in CY 29'!G141</f>
        <v>-145240</v>
      </c>
    </row>
    <row r="41" spans="1:7" ht="12" customHeight="1" x14ac:dyDescent="0.2">
      <c r="A41" s="998" t="s">
        <v>156</v>
      </c>
      <c r="B41" s="999"/>
      <c r="C41" s="1000"/>
      <c r="D41" s="1806">
        <f>SUM(D19:D39)</f>
        <v>117601</v>
      </c>
      <c r="E41" s="1806">
        <f>SUM(E19:E40)</f>
        <v>4535421</v>
      </c>
      <c r="F41" s="1806">
        <f>SUM(F19:F39)</f>
        <v>377487</v>
      </c>
      <c r="G41" s="1806">
        <f>SUM(G19:G40)</f>
        <v>4275535</v>
      </c>
    </row>
    <row r="42" spans="1:7" x14ac:dyDescent="0.2">
      <c r="A42" s="987"/>
      <c r="B42" s="162"/>
      <c r="C42" s="1001"/>
      <c r="D42" s="2284" t="s">
        <v>522</v>
      </c>
      <c r="E42" s="2285"/>
      <c r="F42" s="1002" t="s">
        <v>523</v>
      </c>
      <c r="G42" s="1003"/>
    </row>
    <row r="43" spans="1:7" ht="12" customHeight="1" x14ac:dyDescent="0.2">
      <c r="A43" s="987"/>
      <c r="B43" s="162"/>
      <c r="C43" s="1001"/>
      <c r="D43" s="1807" t="s">
        <v>473</v>
      </c>
      <c r="E43" s="1808">
        <f>D41</f>
        <v>117601</v>
      </c>
      <c r="F43" s="1807" t="s">
        <v>473</v>
      </c>
      <c r="G43" s="1808">
        <f>F41</f>
        <v>377487</v>
      </c>
    </row>
    <row r="44" spans="1:7" ht="12" customHeight="1" x14ac:dyDescent="0.2">
      <c r="A44" s="987"/>
      <c r="B44" s="162"/>
      <c r="C44" s="1001"/>
      <c r="D44" s="1807" t="s">
        <v>474</v>
      </c>
      <c r="E44" s="1808">
        <f>E41</f>
        <v>4535421</v>
      </c>
      <c r="F44" s="1807" t="s">
        <v>474</v>
      </c>
      <c r="G44" s="1808">
        <f>G41</f>
        <v>4275535</v>
      </c>
    </row>
    <row r="45" spans="1:7" ht="12" customHeight="1" x14ac:dyDescent="0.2">
      <c r="A45" s="987"/>
      <c r="B45" s="162"/>
      <c r="C45" s="162"/>
      <c r="D45" s="1809" t="s">
        <v>1006</v>
      </c>
      <c r="E45" s="1810">
        <f>(E43/E44)</f>
        <v>2.5929456162944963E-2</v>
      </c>
      <c r="F45" s="1809" t="s">
        <v>1006</v>
      </c>
      <c r="G45" s="1810">
        <f>(G43/G44)</f>
        <v>8.8290003473249543E-2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L97"/>
  <sheetViews>
    <sheetView showGridLines="0" zoomScale="110" zoomScaleNormal="110" workbookViewId="0">
      <pane ySplit="4" topLeftCell="A5" activePane="bottomLeft" state="frozen"/>
      <selection activeCell="A47" sqref="A47"/>
      <selection pane="bottomLeft" activeCell="F14" sqref="F1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3" t="s">
        <v>1379</v>
      </c>
      <c r="B1" s="2303"/>
      <c r="C1" s="2303"/>
      <c r="D1" s="2303"/>
      <c r="E1" s="2303"/>
      <c r="F1" s="2303"/>
    </row>
    <row r="2" spans="1:10" x14ac:dyDescent="0.2">
      <c r="A2" s="1887" t="s">
        <v>1909</v>
      </c>
      <c r="B2" s="1848"/>
      <c r="C2" s="1887"/>
      <c r="D2" s="1848"/>
      <c r="E2" s="1848"/>
      <c r="F2" s="1849"/>
    </row>
    <row r="3" spans="1:10" x14ac:dyDescent="0.2">
      <c r="A3" s="1887" t="s">
        <v>1975</v>
      </c>
      <c r="B3" s="1848"/>
      <c r="C3" s="1887"/>
      <c r="D3" s="1848"/>
      <c r="E3" s="1848"/>
      <c r="F3" s="1849"/>
    </row>
    <row r="4" spans="1:10" ht="3.75" customHeight="1" x14ac:dyDescent="0.2">
      <c r="A4" s="1848"/>
      <c r="B4" s="1848"/>
      <c r="C4" s="1848"/>
      <c r="D4" s="1848"/>
      <c r="E4" s="1848"/>
      <c r="F4" s="1849"/>
    </row>
    <row r="5" spans="1:10" ht="15" x14ac:dyDescent="0.25">
      <c r="A5" s="2304" t="s">
        <v>1546</v>
      </c>
      <c r="B5" s="2305"/>
      <c r="C5" s="2306"/>
      <c r="D5" s="2306"/>
      <c r="E5" s="2306"/>
      <c r="F5" s="2306"/>
    </row>
    <row r="6" spans="1:10" ht="12" customHeight="1" x14ac:dyDescent="0.25">
      <c r="A6" s="1850"/>
      <c r="B6" s="1851"/>
      <c r="C6" s="2307" t="str">
        <f>COVER!A17</f>
        <v>Livingston Co Spec Services Unit</v>
      </c>
      <c r="D6" s="2307"/>
      <c r="E6" s="2307"/>
      <c r="F6" s="1852"/>
    </row>
    <row r="7" spans="1:10" ht="11.25" customHeight="1" thickBot="1" x14ac:dyDescent="0.3">
      <c r="A7" s="1850"/>
      <c r="B7" s="1851"/>
      <c r="C7" s="2308">
        <f>COVER!A13</f>
        <v>17053000061</v>
      </c>
      <c r="D7" s="2308"/>
      <c r="E7" s="2308"/>
      <c r="F7" s="1852"/>
    </row>
    <row r="8" spans="1:10" ht="25.5" customHeight="1" thickBot="1" x14ac:dyDescent="0.25">
      <c r="A8" s="1893" t="s">
        <v>1905</v>
      </c>
      <c r="B8" s="1853" t="s">
        <v>2062</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09"/>
      <c r="D35" s="2309"/>
      <c r="E35" s="2309"/>
      <c r="F35" s="2310"/>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295"/>
      <c r="B38" s="2296"/>
      <c r="C38" s="2296"/>
      <c r="D38" s="2296"/>
      <c r="E38" s="2296"/>
      <c r="F38" s="2297"/>
    </row>
    <row r="39" spans="1:11" ht="4.5" hidden="1" customHeight="1" x14ac:dyDescent="0.2">
      <c r="A39" s="1873"/>
      <c r="B39" s="1873"/>
      <c r="C39" s="1873"/>
      <c r="D39" s="1873"/>
      <c r="E39" s="1873"/>
      <c r="F39" s="1873"/>
    </row>
    <row r="40" spans="1:11" s="1870" customFormat="1" ht="12" customHeight="1" x14ac:dyDescent="0.25">
      <c r="A40" s="1874" t="s">
        <v>1391</v>
      </c>
      <c r="B40" s="1875"/>
      <c r="C40" s="2298"/>
      <c r="D40" s="2298"/>
      <c r="E40" s="2298"/>
      <c r="F40" s="2299"/>
      <c r="H40" s="1879"/>
      <c r="I40" s="1879"/>
      <c r="J40" s="1879"/>
      <c r="K40" s="1879"/>
    </row>
    <row r="41" spans="1:11" s="1870" customFormat="1" ht="12" customHeight="1" x14ac:dyDescent="0.25">
      <c r="A41" s="2300"/>
      <c r="B41" s="2301"/>
      <c r="C41" s="2301"/>
      <c r="D41" s="2301"/>
      <c r="E41" s="2301"/>
      <c r="F41" s="2302"/>
      <c r="H41" s="1879"/>
      <c r="I41" s="1879"/>
      <c r="J41" s="1879"/>
      <c r="K41" s="1879"/>
    </row>
    <row r="42" spans="1:11" s="1870" customFormat="1" ht="12" customHeight="1" x14ac:dyDescent="0.25">
      <c r="A42" s="2300"/>
      <c r="B42" s="2301"/>
      <c r="C42" s="2301"/>
      <c r="D42" s="2301"/>
      <c r="E42" s="2301"/>
      <c r="F42" s="2302"/>
      <c r="H42" s="1879"/>
      <c r="I42" s="1879"/>
      <c r="J42" s="1879"/>
      <c r="K42" s="1879"/>
    </row>
    <row r="43" spans="1:11" s="1870" customFormat="1" ht="15" x14ac:dyDescent="0.25">
      <c r="A43" s="2289"/>
      <c r="B43" s="2290"/>
      <c r="C43" s="2290"/>
      <c r="D43" s="2290"/>
      <c r="E43" s="2290"/>
      <c r="F43" s="2291"/>
      <c r="H43" s="1879"/>
      <c r="I43" s="1879"/>
      <c r="J43" s="1879"/>
      <c r="K43" s="1879"/>
    </row>
    <row r="44" spans="1:11" s="1870" customFormat="1" ht="12" hidden="1" customHeight="1" x14ac:dyDescent="0.25">
      <c r="A44" s="2289"/>
      <c r="B44" s="2290"/>
      <c r="C44" s="2290"/>
      <c r="D44" s="2290"/>
      <c r="E44" s="2290"/>
      <c r="F44" s="2291"/>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H14" sqref="H1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6" t="str">
        <f>COVER!A17</f>
        <v>Livingston Co Spec Services Unit</v>
      </c>
      <c r="J6" s="2317"/>
      <c r="Q6" s="1664"/>
    </row>
    <row r="7" spans="1:17" x14ac:dyDescent="0.2">
      <c r="A7" s="2318" t="s">
        <v>869</v>
      </c>
      <c r="B7" s="2319"/>
      <c r="C7" s="2319"/>
      <c r="D7" s="2319"/>
      <c r="E7" s="2320"/>
      <c r="F7" s="1017"/>
      <c r="G7" s="1009"/>
      <c r="H7" s="1016" t="s">
        <v>372</v>
      </c>
      <c r="I7" s="2321">
        <f>COVER!A13</f>
        <v>17053000061</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1976</v>
      </c>
      <c r="F9" s="1023"/>
      <c r="G9" s="1023"/>
      <c r="H9" s="1896"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0</v>
      </c>
      <c r="F12" s="1039"/>
      <c r="G12" s="1811">
        <f t="shared" ref="G12:G18" si="0">SUM(E12:F12)</f>
        <v>0</v>
      </c>
      <c r="H12" s="1040">
        <v>281017</v>
      </c>
      <c r="I12" s="1039"/>
      <c r="J12" s="1811">
        <f t="shared" ref="J12:J18" si="1">SUM(H12:I12)</f>
        <v>281017</v>
      </c>
    </row>
    <row r="13" spans="1:17" ht="15" customHeight="1" x14ac:dyDescent="0.2">
      <c r="A13" s="1035">
        <v>2</v>
      </c>
      <c r="B13" s="1036" t="s">
        <v>42</v>
      </c>
      <c r="C13" s="1037"/>
      <c r="D13" s="1038">
        <v>2330</v>
      </c>
      <c r="E13" s="1811">
        <f>'Expenditures 15-22'!K51</f>
        <v>695408</v>
      </c>
      <c r="F13" s="1039"/>
      <c r="G13" s="1811">
        <f t="shared" si="0"/>
        <v>695408</v>
      </c>
      <c r="H13" s="1040">
        <v>368336</v>
      </c>
      <c r="I13" s="1039"/>
      <c r="J13" s="1811">
        <f t="shared" si="1"/>
        <v>368336</v>
      </c>
    </row>
    <row r="14" spans="1:17" ht="15" customHeight="1" x14ac:dyDescent="0.2">
      <c r="A14" s="1035">
        <v>3</v>
      </c>
      <c r="B14" s="1036" t="s">
        <v>43</v>
      </c>
      <c r="C14" s="1037"/>
      <c r="D14" s="1041">
        <v>2490</v>
      </c>
      <c r="E14" s="1811">
        <f>'Expenditures 15-22'!K56</f>
        <v>0</v>
      </c>
      <c r="F14" s="1039"/>
      <c r="G14" s="1811">
        <f t="shared" si="0"/>
        <v>0</v>
      </c>
      <c r="H14" s="1040">
        <v>0</v>
      </c>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v>0</v>
      </c>
      <c r="I15" s="1040"/>
      <c r="J15" s="1811">
        <f t="shared" si="1"/>
        <v>0</v>
      </c>
    </row>
    <row r="16" spans="1:17" ht="15" customHeight="1" x14ac:dyDescent="0.2">
      <c r="A16" s="1035">
        <v>5</v>
      </c>
      <c r="B16" s="1036" t="s">
        <v>101</v>
      </c>
      <c r="C16" s="1037"/>
      <c r="D16" s="1038">
        <v>2570</v>
      </c>
      <c r="E16" s="1811">
        <f>'Expenditures 15-22'!K64</f>
        <v>13681</v>
      </c>
      <c r="F16" s="1039"/>
      <c r="G16" s="1811">
        <f t="shared" si="0"/>
        <v>13681</v>
      </c>
      <c r="H16" s="1040">
        <v>13122</v>
      </c>
      <c r="I16" s="1039"/>
      <c r="J16" s="1811">
        <f t="shared" si="1"/>
        <v>13122</v>
      </c>
    </row>
    <row r="17" spans="1:10" ht="15" customHeight="1" x14ac:dyDescent="0.2">
      <c r="A17" s="1035">
        <v>6</v>
      </c>
      <c r="B17" s="1036" t="s">
        <v>1060</v>
      </c>
      <c r="C17" s="1037"/>
      <c r="D17" s="1038">
        <v>2610</v>
      </c>
      <c r="E17" s="1811">
        <f>'Expenditures 15-22'!K67</f>
        <v>0</v>
      </c>
      <c r="F17" s="1039"/>
      <c r="G17" s="1811">
        <f t="shared" si="0"/>
        <v>0</v>
      </c>
      <c r="H17" s="1040">
        <v>0</v>
      </c>
      <c r="I17" s="1039"/>
      <c r="J17" s="1811">
        <f t="shared" si="1"/>
        <v>0</v>
      </c>
    </row>
    <row r="18" spans="1:10" ht="22.5" customHeight="1" x14ac:dyDescent="0.2">
      <c r="A18" s="1042">
        <v>7</v>
      </c>
      <c r="B18" s="2325" t="s">
        <v>7</v>
      </c>
      <c r="C18" s="2326"/>
      <c r="D18" s="232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709089</v>
      </c>
      <c r="F19" s="1813">
        <f t="shared" si="2"/>
        <v>0</v>
      </c>
      <c r="G19" s="1813">
        <f t="shared" si="2"/>
        <v>709089</v>
      </c>
      <c r="H19" s="1813">
        <f t="shared" si="2"/>
        <v>662475</v>
      </c>
      <c r="I19" s="1813">
        <f t="shared" si="2"/>
        <v>0</v>
      </c>
      <c r="J19" s="1813">
        <f t="shared" si="2"/>
        <v>662475</v>
      </c>
    </row>
    <row r="20" spans="1:10" ht="13.5" thickTop="1" x14ac:dyDescent="0.2">
      <c r="A20" s="1035">
        <v>9</v>
      </c>
      <c r="B20" s="2328" t="s">
        <v>1978</v>
      </c>
      <c r="C20" s="2328"/>
      <c r="D20" s="2329"/>
      <c r="E20" s="1046"/>
      <c r="F20" s="1046"/>
      <c r="G20" s="1046"/>
      <c r="H20" s="1046"/>
      <c r="I20" s="1046"/>
      <c r="J20" s="1814">
        <f>IF(AND(G19&gt;0,J19&gt;0),(((J19-G19)/G19)),"Enter Budget Data")</f>
        <v>-6.5737869294263479E-2</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1980</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10" sqref="B10"/>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2082</v>
      </c>
    </row>
    <row r="6" spans="1:2" x14ac:dyDescent="0.2">
      <c r="A6" s="1068">
        <v>2</v>
      </c>
      <c r="B6" s="329" t="s">
        <v>2083</v>
      </c>
    </row>
    <row r="7" spans="1:2" x14ac:dyDescent="0.2">
      <c r="A7" s="1068">
        <v>3</v>
      </c>
      <c r="B7" s="329" t="s">
        <v>2084</v>
      </c>
    </row>
    <row r="8" spans="1:2" x14ac:dyDescent="0.2">
      <c r="A8" s="1068">
        <v>4</v>
      </c>
      <c r="B8" s="329" t="s">
        <v>2085</v>
      </c>
    </row>
    <row r="9" spans="1:2" x14ac:dyDescent="0.2">
      <c r="A9" s="1069">
        <v>5</v>
      </c>
      <c r="B9" s="329" t="s">
        <v>2149</v>
      </c>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Livingston Co Spec Services Unit</v>
      </c>
    </row>
    <row r="65" spans="2:2" x14ac:dyDescent="0.2">
      <c r="B65" s="1070">
        <f>COVER!A13</f>
        <v>17053000061</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FF00"/>
  </sheetPr>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419100</xdr:colOff>
                <xdr:row>3</xdr:row>
                <xdr:rowOff>142875</xdr:rowOff>
              </from>
              <to>
                <xdr:col>1</xdr:col>
                <xdr:colOff>1285875</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C12" sqref="C12:F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1984</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1985</v>
      </c>
      <c r="B4" s="2356"/>
      <c r="C4" s="2356"/>
      <c r="D4" s="2356"/>
      <c r="E4" s="2356"/>
      <c r="F4" s="2357"/>
      <c r="G4" s="1074"/>
      <c r="H4" s="1074"/>
    </row>
    <row r="5" spans="1:8" ht="14.25" customHeight="1" x14ac:dyDescent="0.2">
      <c r="A5" s="2358" t="s">
        <v>1981</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4844955</v>
      </c>
      <c r="C8" s="1815">
        <f>'Acct Summary 7-8'!D8</f>
        <v>0</v>
      </c>
      <c r="D8" s="1815">
        <f>'Acct Summary 7-8'!F8</f>
        <v>0</v>
      </c>
      <c r="E8" s="1815">
        <f>'Acct Summary 7-8'!I8</f>
        <v>0</v>
      </c>
      <c r="F8" s="1815">
        <f>SUM(B8:E8)</f>
        <v>4844955</v>
      </c>
    </row>
    <row r="9" spans="1:8" s="1079" customFormat="1" ht="14.25" customHeight="1" thickBot="1" x14ac:dyDescent="0.25">
      <c r="A9" s="1078" t="s">
        <v>1369</v>
      </c>
      <c r="B9" s="1816">
        <f>'Acct Summary 7-8'!C17</f>
        <v>5173590</v>
      </c>
      <c r="C9" s="1816">
        <f>'Acct Summary 7-8'!D17</f>
        <v>0</v>
      </c>
      <c r="D9" s="1816">
        <f>'Acct Summary 7-8'!F17</f>
        <v>0</v>
      </c>
      <c r="E9" s="1815"/>
      <c r="F9" s="1815">
        <f>SUM(B9:E9)</f>
        <v>5173590</v>
      </c>
    </row>
    <row r="10" spans="1:8" s="1079" customFormat="1" ht="14.25" thickTop="1" thickBot="1" x14ac:dyDescent="0.25">
      <c r="A10" s="1080" t="s">
        <v>1370</v>
      </c>
      <c r="B10" s="1817">
        <f>(B8-B9)</f>
        <v>-328635</v>
      </c>
      <c r="C10" s="1817">
        <f>(C8-C9)</f>
        <v>0</v>
      </c>
      <c r="D10" s="1817">
        <f>(D8-D9)</f>
        <v>0</v>
      </c>
      <c r="E10" s="1816">
        <f>(E8-E9)</f>
        <v>0</v>
      </c>
      <c r="F10" s="1818">
        <f>SUM(F8-F9)</f>
        <v>-328635</v>
      </c>
    </row>
    <row r="11" spans="1:8" s="1079" customFormat="1" ht="14.25" thickTop="1" thickBot="1" x14ac:dyDescent="0.25">
      <c r="A11" s="1081" t="s">
        <v>1982</v>
      </c>
      <c r="B11" s="1819">
        <f>'Acct Summary 7-8'!C81</f>
        <v>441391</v>
      </c>
      <c r="C11" s="1819">
        <f>'Acct Summary 7-8'!D81</f>
        <v>0</v>
      </c>
      <c r="D11" s="1819">
        <f>'Acct Summary 7-8'!F81</f>
        <v>0</v>
      </c>
      <c r="E11" s="1819">
        <f>'Acct Summary 7-8'!I81</f>
        <v>0</v>
      </c>
      <c r="F11" s="1820">
        <f>SUM(B11:E11)</f>
        <v>441391</v>
      </c>
    </row>
    <row r="12" spans="1:8" ht="16.5" customHeight="1" thickTop="1" x14ac:dyDescent="0.2">
      <c r="A12" s="1082"/>
      <c r="B12" s="1083"/>
      <c r="C12" s="2340"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C78" sqref="C7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ENTER ACCOUNTING INFO</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17053000061</v>
      </c>
    </row>
    <row r="3" spans="1:2" x14ac:dyDescent="0.2">
      <c r="A3" t="s">
        <v>956</v>
      </c>
      <c r="B3" s="138" t="str">
        <f>COVER!A15</f>
        <v>Livingston</v>
      </c>
    </row>
    <row r="4" spans="1:2" x14ac:dyDescent="0.2">
      <c r="A4" t="s">
        <v>1007</v>
      </c>
      <c r="B4" s="138" t="str">
        <f>COVER!A17</f>
        <v>Livingston Co Spec Services Unit</v>
      </c>
    </row>
    <row r="5" spans="1:2" x14ac:dyDescent="0.2">
      <c r="A5" t="s">
        <v>704</v>
      </c>
      <c r="B5" s="138" t="str">
        <f>COVER!A38</f>
        <v>Joshua Olsen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066-005232</v>
      </c>
    </row>
    <row r="16" spans="1:2" x14ac:dyDescent="0.2">
      <c r="A16" t="s">
        <v>422</v>
      </c>
      <c r="B16" s="138" t="str">
        <f>COVER!T13</f>
        <v>MCK, CPAs &amp; Advisors</v>
      </c>
    </row>
    <row r="17" spans="1:2" x14ac:dyDescent="0.2">
      <c r="A17" t="s">
        <v>884</v>
      </c>
      <c r="B17" s="138" t="str">
        <f>COVER!T15</f>
        <v>Dawn M Carlson</v>
      </c>
    </row>
    <row r="18" spans="1:2" x14ac:dyDescent="0.2">
      <c r="A18" t="s">
        <v>1150</v>
      </c>
      <c r="B18" s="138" t="str">
        <f>COVER!T17</f>
        <v>207 W Jefferson St</v>
      </c>
    </row>
    <row r="19" spans="1:2" x14ac:dyDescent="0.2">
      <c r="A19" t="s">
        <v>886</v>
      </c>
      <c r="B19" s="138" t="str">
        <f>COVER!T25</f>
        <v>dcarlson@mckcpa.com</v>
      </c>
    </row>
    <row r="20" spans="1:2" x14ac:dyDescent="0.2">
      <c r="A20" t="s">
        <v>887</v>
      </c>
      <c r="B20" s="138" t="str">
        <f>COVER!T19</f>
        <v>Bloomington</v>
      </c>
    </row>
    <row r="21" spans="1:2" x14ac:dyDescent="0.2">
      <c r="A21" t="s">
        <v>479</v>
      </c>
      <c r="B21" s="138" t="str">
        <f>COVER!X19</f>
        <v>IL</v>
      </c>
    </row>
    <row r="22" spans="1:2" x14ac:dyDescent="0.2">
      <c r="A22" t="s">
        <v>888</v>
      </c>
      <c r="B22" s="138">
        <f>COVER!Z19</f>
        <v>61701</v>
      </c>
    </row>
    <row r="23" spans="1:2" x14ac:dyDescent="0.2">
      <c r="A23" t="s">
        <v>1152</v>
      </c>
      <c r="B23" s="138" t="str">
        <f>COVER!T21</f>
        <v>(309) 828-6071</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157126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763585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222663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322194</v>
      </c>
      <c r="C91" s="2" t="s">
        <v>573</v>
      </c>
      <c r="D91" s="2" t="str">
        <f t="shared" si="0"/>
        <v>Error?</v>
      </c>
    </row>
    <row r="92" spans="1:4" x14ac:dyDescent="0.2">
      <c r="A92" s="5">
        <v>31</v>
      </c>
      <c r="B92" s="138">
        <f>'Assets-Liab 5-6'!C39</f>
        <v>441391</v>
      </c>
      <c r="D92" s="2" t="str">
        <f t="shared" si="0"/>
        <v>Error?</v>
      </c>
    </row>
    <row r="93" spans="1:4" x14ac:dyDescent="0.2">
      <c r="A93" s="5">
        <v>32</v>
      </c>
      <c r="B93" s="138">
        <f>'Assets-Liab 5-6'!C41</f>
        <v>763585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606936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52256</v>
      </c>
      <c r="C211" s="2" t="s">
        <v>573</v>
      </c>
      <c r="D211" s="2" t="str">
        <f t="shared" si="2"/>
        <v>Error?</v>
      </c>
    </row>
    <row r="212" spans="1:4" x14ac:dyDescent="0.2">
      <c r="A212" s="5">
        <v>151</v>
      </c>
      <c r="B212" s="138">
        <f>'Assets-Liab 5-6'!H39</f>
        <v>554680</v>
      </c>
      <c r="D212" s="2" t="str">
        <f t="shared" si="2"/>
        <v>Error?</v>
      </c>
    </row>
    <row r="213" spans="1:4" x14ac:dyDescent="0.2">
      <c r="A213" s="12">
        <v>152</v>
      </c>
      <c r="B213" s="138">
        <f>'Assets-Liab 5-6'!H41</f>
        <v>606936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573</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895059</v>
      </c>
      <c r="C720" s="2" t="s">
        <v>573</v>
      </c>
      <c r="D720" s="2" t="str">
        <f t="shared" si="10"/>
        <v>Error?</v>
      </c>
    </row>
    <row r="721" spans="1:4" x14ac:dyDescent="0.2">
      <c r="A721" s="5">
        <v>660</v>
      </c>
      <c r="B721" s="138">
        <f>'Expenditures 15-22'!C36</f>
        <v>322235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318583</v>
      </c>
      <c r="D723" s="2" t="str">
        <f t="shared" si="10"/>
        <v>Error?</v>
      </c>
    </row>
    <row r="724" spans="1:4" x14ac:dyDescent="0.2">
      <c r="A724" s="5">
        <v>663</v>
      </c>
      <c r="B724" s="138">
        <f>'Expenditures 15-22'!C39</f>
        <v>237711</v>
      </c>
      <c r="D724" s="2" t="str">
        <f t="shared" si="10"/>
        <v>Error?</v>
      </c>
    </row>
    <row r="725" spans="1:4" x14ac:dyDescent="0.2">
      <c r="A725" s="5">
        <v>664</v>
      </c>
      <c r="B725" s="138">
        <f>'Expenditures 15-22'!C40</f>
        <v>483445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1361974</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514143</v>
      </c>
      <c r="C734" s="2" t="s">
        <v>573</v>
      </c>
      <c r="D734" s="2" t="str">
        <f t="shared" si="10"/>
        <v>Error?</v>
      </c>
    </row>
    <row r="735" spans="1:4" x14ac:dyDescent="0.2">
      <c r="A735" s="5">
        <v>674</v>
      </c>
      <c r="B735" s="138">
        <f>'Expenditures 15-22'!C55</f>
        <v>170142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170142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51944</v>
      </c>
      <c r="D739" s="2" t="str">
        <f t="shared" si="10"/>
        <v>Error?</v>
      </c>
    </row>
    <row r="740" spans="1:4" x14ac:dyDescent="0.2">
      <c r="A740" s="5">
        <v>679</v>
      </c>
      <c r="B740" s="138">
        <f>'Expenditures 15-22'!C61</f>
        <v>24124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76068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75069</v>
      </c>
      <c r="D747" s="2" t="str">
        <f t="shared" si="10"/>
        <v>Error?</v>
      </c>
    </row>
    <row r="748" spans="1:4" x14ac:dyDescent="0.2">
      <c r="A748" s="5">
        <v>687</v>
      </c>
      <c r="B748" s="138">
        <f>'Expenditures 15-22'!C69</f>
        <v>26775</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101844</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2224171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3119230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241172</v>
      </c>
      <c r="C778" s="2" t="s">
        <v>573</v>
      </c>
      <c r="D778" s="2" t="str">
        <f t="shared" si="11"/>
        <v>Error?</v>
      </c>
    </row>
    <row r="779" spans="1:4" x14ac:dyDescent="0.2">
      <c r="A779" s="5">
        <v>718</v>
      </c>
      <c r="B779" s="138">
        <f>'Expenditures 15-22'!D36</f>
        <v>69628</v>
      </c>
      <c r="D779" s="2" t="str">
        <f t="shared" si="11"/>
        <v>Error?</v>
      </c>
    </row>
    <row r="780" spans="1:4" x14ac:dyDescent="0.2">
      <c r="A780" s="5">
        <v>719</v>
      </c>
      <c r="B780" s="138">
        <f>'Expenditures 15-22'!D37</f>
        <v>0</v>
      </c>
      <c r="D780" s="2" t="str">
        <f t="shared" si="11"/>
        <v>Error?</v>
      </c>
    </row>
    <row r="781" spans="1:4" x14ac:dyDescent="0.2">
      <c r="A781" s="5">
        <v>720</v>
      </c>
      <c r="B781" s="138">
        <f>'Expenditures 15-22'!D38</f>
        <v>92178</v>
      </c>
      <c r="D781" s="2" t="str">
        <f t="shared" si="11"/>
        <v>Error?</v>
      </c>
    </row>
    <row r="782" spans="1:4" x14ac:dyDescent="0.2">
      <c r="A782" s="5">
        <v>721</v>
      </c>
      <c r="B782" s="138">
        <f>'Expenditures 15-22'!D39</f>
        <v>50649</v>
      </c>
      <c r="D782" s="2" t="str">
        <f t="shared" si="11"/>
        <v>Error?</v>
      </c>
    </row>
    <row r="783" spans="1:4" x14ac:dyDescent="0.2">
      <c r="A783" s="5">
        <v>722</v>
      </c>
      <c r="B783" s="138">
        <f>'Expenditures 15-22'!D40</f>
        <v>106041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318496</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137391</v>
      </c>
      <c r="C792" s="2" t="s">
        <v>573</v>
      </c>
      <c r="D792" s="2" t="str">
        <f t="shared" si="11"/>
        <v>Error?</v>
      </c>
    </row>
    <row r="793" spans="1:4" x14ac:dyDescent="0.2">
      <c r="A793" s="5">
        <v>732</v>
      </c>
      <c r="B793" s="138">
        <f>'Expenditures 15-22'!D55</f>
        <v>39749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39749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15316</v>
      </c>
      <c r="D797" s="2" t="str">
        <f t="shared" si="11"/>
        <v>Error?</v>
      </c>
    </row>
    <row r="798" spans="1:4" x14ac:dyDescent="0.2">
      <c r="A798" s="5">
        <v>737</v>
      </c>
      <c r="B798" s="138">
        <f>'Expenditures 15-22'!D61</f>
        <v>8822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24138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17930</v>
      </c>
      <c r="D805" s="2" t="str">
        <f t="shared" si="11"/>
        <v>Error?</v>
      </c>
    </row>
    <row r="806" spans="1:4" x14ac:dyDescent="0.2">
      <c r="A806" s="5">
        <v>745</v>
      </c>
      <c r="B806" s="138">
        <f>'Expenditures 15-22'!D69</f>
        <v>9154</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27084</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546858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788030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2984</v>
      </c>
      <c r="C836" s="2" t="s">
        <v>573</v>
      </c>
      <c r="D836" s="2" t="str">
        <f t="shared" si="12"/>
        <v>Error?</v>
      </c>
    </row>
    <row r="837" spans="1:4" x14ac:dyDescent="0.2">
      <c r="A837" s="5">
        <v>776</v>
      </c>
      <c r="B837" s="138">
        <f>'Expenditures 15-22'!E36</f>
        <v>13334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76637</v>
      </c>
      <c r="D839" s="2" t="str">
        <f t="shared" si="12"/>
        <v>Error?</v>
      </c>
    </row>
    <row r="840" spans="1:4" x14ac:dyDescent="0.2">
      <c r="A840" s="5">
        <v>779</v>
      </c>
      <c r="B840" s="138">
        <f>'Expenditures 15-22'!E39</f>
        <v>49607</v>
      </c>
      <c r="D840" s="2" t="str">
        <f t="shared" si="12"/>
        <v>Error?</v>
      </c>
    </row>
    <row r="841" spans="1:4" x14ac:dyDescent="0.2">
      <c r="A841" s="5">
        <v>780</v>
      </c>
      <c r="B841" s="138">
        <f>'Expenditures 15-22'!E40</f>
        <v>164106</v>
      </c>
      <c r="D841" s="2" t="str">
        <f t="shared" si="12"/>
        <v>Error?</v>
      </c>
    </row>
    <row r="842" spans="1:4" x14ac:dyDescent="0.2">
      <c r="A842" s="5">
        <v>781</v>
      </c>
      <c r="B842" s="138">
        <f>'Expenditures 15-22'!E41</f>
        <v>2160</v>
      </c>
      <c r="D842" s="2" t="str">
        <f t="shared" si="12"/>
        <v>Error?</v>
      </c>
    </row>
    <row r="843" spans="1:4" x14ac:dyDescent="0.2">
      <c r="A843" s="5">
        <v>782</v>
      </c>
      <c r="B843" s="138">
        <f>'Expenditures 15-22'!E42</f>
        <v>305844</v>
      </c>
      <c r="C843" s="2" t="s">
        <v>573</v>
      </c>
      <c r="D843" s="2" t="str">
        <f t="shared" si="12"/>
        <v>Error?</v>
      </c>
    </row>
    <row r="844" spans="1:4" x14ac:dyDescent="0.2">
      <c r="A844" s="5">
        <v>783</v>
      </c>
      <c r="B844" s="138">
        <f>'Expenditures 15-22'!E44</f>
        <v>78303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42791</v>
      </c>
      <c r="D846" s="2" t="str">
        <f t="shared" si="12"/>
        <v>Error?</v>
      </c>
    </row>
    <row r="847" spans="1:4" x14ac:dyDescent="0.2">
      <c r="A847" s="5">
        <v>786</v>
      </c>
      <c r="B847" s="138">
        <f>'Expenditures 15-22'!E47</f>
        <v>121094</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57757</v>
      </c>
      <c r="C850" s="2" t="s">
        <v>573</v>
      </c>
      <c r="D850" s="2" t="str">
        <f t="shared" si="12"/>
        <v>Error?</v>
      </c>
    </row>
    <row r="851" spans="1:4" x14ac:dyDescent="0.2">
      <c r="A851" s="5">
        <v>790</v>
      </c>
      <c r="B851" s="138">
        <f>'Expenditures 15-22'!E55</f>
        <v>806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806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11500</v>
      </c>
      <c r="D855" s="2" t="str">
        <f t="shared" si="12"/>
        <v>Error?</v>
      </c>
    </row>
    <row r="856" spans="1:4" x14ac:dyDescent="0.2">
      <c r="A856" s="5">
        <v>795</v>
      </c>
      <c r="B856" s="138">
        <f>'Expenditures 15-22'!E61</f>
        <v>223693</v>
      </c>
      <c r="D856" s="2" t="str">
        <f t="shared" si="12"/>
        <v>Error?</v>
      </c>
    </row>
    <row r="857" spans="1:4" x14ac:dyDescent="0.2">
      <c r="A857" s="5">
        <v>796</v>
      </c>
      <c r="B857" s="138">
        <f>'Expenditures 15-22'!E62</f>
        <v>16167</v>
      </c>
      <c r="D857" s="2" t="str">
        <f t="shared" si="12"/>
        <v>Error?</v>
      </c>
    </row>
    <row r="858" spans="1:4" x14ac:dyDescent="0.2">
      <c r="A858" s="5">
        <v>797</v>
      </c>
      <c r="B858" s="138">
        <f>'Expenditures 15-22'!E63</f>
        <v>16568</v>
      </c>
      <c r="D858" s="2" t="str">
        <f t="shared" si="12"/>
        <v>Error?</v>
      </c>
    </row>
    <row r="859" spans="1:4" x14ac:dyDescent="0.2">
      <c r="A859" s="5">
        <v>798</v>
      </c>
      <c r="B859" s="138">
        <f>'Expenditures 15-22'!E64</f>
        <v>13681</v>
      </c>
      <c r="D859" s="2" t="str">
        <f t="shared" si="12"/>
        <v>Error?</v>
      </c>
    </row>
    <row r="860" spans="1:4" x14ac:dyDescent="0.2">
      <c r="A860" s="10">
        <v>799</v>
      </c>
      <c r="D860" s="2" t="str">
        <f t="shared" si="12"/>
        <v>OK</v>
      </c>
    </row>
    <row r="861" spans="1:4" x14ac:dyDescent="0.2">
      <c r="A861" s="5">
        <v>800</v>
      </c>
      <c r="B861" s="138">
        <f>'Expenditures 15-22'!E65</f>
        <v>281609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1976</v>
      </c>
      <c r="D863" s="2" t="str">
        <f t="shared" si="12"/>
        <v>Error?</v>
      </c>
    </row>
    <row r="864" spans="1:4" x14ac:dyDescent="0.2">
      <c r="A864" s="5">
        <v>803</v>
      </c>
      <c r="B864" s="138">
        <f>'Expenditures 15-22'!E69</f>
        <v>9440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25160</v>
      </c>
      <c r="D867" s="2" t="str">
        <f t="shared" si="12"/>
        <v>Error?</v>
      </c>
    </row>
    <row r="868" spans="1:4" x14ac:dyDescent="0.2">
      <c r="A868" s="10">
        <v>807</v>
      </c>
      <c r="D868" s="2" t="str">
        <f t="shared" si="12"/>
        <v>OK</v>
      </c>
    </row>
    <row r="869" spans="1:4" x14ac:dyDescent="0.2">
      <c r="A869" s="5">
        <v>808</v>
      </c>
      <c r="B869" s="138">
        <f>'Expenditures 15-22'!E72</f>
        <v>36576</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803686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838375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20661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179</v>
      </c>
      <c r="D897" s="2" t="str">
        <f t="shared" si="13"/>
        <v>Error?</v>
      </c>
    </row>
    <row r="898" spans="1:4" x14ac:dyDescent="0.2">
      <c r="A898" s="5">
        <v>837</v>
      </c>
      <c r="B898" s="138">
        <f>'Expenditures 15-22'!F39</f>
        <v>22</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201</v>
      </c>
      <c r="C901" s="2" t="s">
        <v>573</v>
      </c>
      <c r="D901" s="2" t="str">
        <f t="shared" si="13"/>
        <v>Error?</v>
      </c>
    </row>
    <row r="902" spans="1:4" x14ac:dyDescent="0.2">
      <c r="A902" s="5">
        <v>841</v>
      </c>
      <c r="B902" s="138">
        <f>'Expenditures 15-22'!F44</f>
        <v>5749</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5749</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33044</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3247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3247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42241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62902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8428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55195</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55195</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55195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63623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16577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3250</v>
      </c>
      <c r="C1024" s="2" t="s">
        <v>573</v>
      </c>
      <c r="D1024" s="2" t="str">
        <f t="shared" si="15"/>
        <v>Error?</v>
      </c>
    </row>
    <row r="1025" spans="1:4" x14ac:dyDescent="0.2">
      <c r="A1025" s="5">
        <v>964</v>
      </c>
      <c r="B1025" s="138">
        <f>'Expenditures 15-22'!H55</f>
        <v>848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848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755</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755</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4853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280000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301430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1184881</v>
      </c>
      <c r="C1108" s="2" t="s">
        <v>573</v>
      </c>
      <c r="D1108" s="2" t="str">
        <f t="shared" si="16"/>
        <v>Error?</v>
      </c>
    </row>
    <row r="1109" spans="1:4" x14ac:dyDescent="0.2">
      <c r="A1109" s="5">
        <v>1048</v>
      </c>
      <c r="B1109" s="138">
        <f>'Expenditures 15-22'!K36</f>
        <v>405197</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487577</v>
      </c>
      <c r="C1111" s="2" t="s">
        <v>573</v>
      </c>
      <c r="D1111" s="2" t="str">
        <f t="shared" si="16"/>
        <v>Error?</v>
      </c>
    </row>
    <row r="1112" spans="1:4" x14ac:dyDescent="0.2">
      <c r="A1112" s="5">
        <v>1051</v>
      </c>
      <c r="B1112" s="138">
        <f>'Expenditures 15-22'!K39</f>
        <v>337989</v>
      </c>
      <c r="C1112" s="2" t="s">
        <v>573</v>
      </c>
      <c r="D1112" s="2" t="str">
        <f t="shared" si="16"/>
        <v>Error?</v>
      </c>
    </row>
    <row r="1113" spans="1:4" x14ac:dyDescent="0.2">
      <c r="A1113" s="5">
        <v>1052</v>
      </c>
      <c r="B1113" s="138">
        <f>'Expenditures 15-22'!K40</f>
        <v>753592</v>
      </c>
      <c r="C1113" s="2" t="s">
        <v>573</v>
      </c>
      <c r="D1113" s="2" t="str">
        <f t="shared" si="16"/>
        <v>Error?</v>
      </c>
    </row>
    <row r="1114" spans="1:4" x14ac:dyDescent="0.2">
      <c r="A1114" s="5">
        <v>1053</v>
      </c>
      <c r="B1114" s="138">
        <f>'Expenditures 15-22'!K41</f>
        <v>2160</v>
      </c>
      <c r="C1114" s="2" t="s">
        <v>573</v>
      </c>
      <c r="D1114" s="2" t="str">
        <f t="shared" si="16"/>
        <v>Error?</v>
      </c>
    </row>
    <row r="1115" spans="1:4" x14ac:dyDescent="0.2">
      <c r="A1115" s="5">
        <v>1054</v>
      </c>
      <c r="B1115" s="138">
        <f>'Expenditures 15-22'!K42</f>
        <v>1986515</v>
      </c>
      <c r="C1115" s="2" t="s">
        <v>573</v>
      </c>
      <c r="D1115" s="2" t="str">
        <f t="shared" si="16"/>
        <v>Error?</v>
      </c>
    </row>
    <row r="1116" spans="1:4" x14ac:dyDescent="0.2">
      <c r="A1116" s="5">
        <v>1055</v>
      </c>
      <c r="B1116" s="138">
        <f>'Expenditures 15-22'!K44</f>
        <v>84052</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42791</v>
      </c>
      <c r="C1118" s="2" t="s">
        <v>573</v>
      </c>
      <c r="D1118" s="2" t="str">
        <f t="shared" si="16"/>
        <v>Error?</v>
      </c>
    </row>
    <row r="1119" spans="1:4" x14ac:dyDescent="0.2">
      <c r="A1119" s="5">
        <v>1058</v>
      </c>
      <c r="B1119" s="138">
        <f>'Expenditures 15-22'!K47</f>
        <v>126843</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745585</v>
      </c>
      <c r="C1122" s="2" t="s">
        <v>573</v>
      </c>
      <c r="D1122" s="2" t="str">
        <f t="shared" si="16"/>
        <v>Error?</v>
      </c>
    </row>
    <row r="1123" spans="1:4" x14ac:dyDescent="0.2">
      <c r="A1123" s="5">
        <v>1062</v>
      </c>
      <c r="B1123" s="138">
        <f>'Expenditures 15-22'!K55</f>
        <v>211545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211545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78760</v>
      </c>
      <c r="C1127" s="2" t="s">
        <v>573</v>
      </c>
      <c r="D1127" s="2" t="str">
        <f t="shared" si="16"/>
        <v>Error?</v>
      </c>
    </row>
    <row r="1128" spans="1:4" x14ac:dyDescent="0.2">
      <c r="A1128" s="5">
        <v>1067</v>
      </c>
      <c r="B1128" s="138">
        <f>'Expenditures 15-22'!K61</f>
        <v>259886</v>
      </c>
      <c r="C1128" s="2" t="s">
        <v>573</v>
      </c>
      <c r="D1128" s="2" t="str">
        <f t="shared" si="16"/>
        <v>Error?</v>
      </c>
    </row>
    <row r="1129" spans="1:4" x14ac:dyDescent="0.2">
      <c r="A1129" s="5">
        <v>1068</v>
      </c>
      <c r="B1129" s="138">
        <f>'Expenditures 15-22'!K62</f>
        <v>71362</v>
      </c>
      <c r="C1129" s="2" t="s">
        <v>573</v>
      </c>
      <c r="D1129" s="2" t="str">
        <f t="shared" si="16"/>
        <v>Error?</v>
      </c>
    </row>
    <row r="1130" spans="1:4" x14ac:dyDescent="0.2">
      <c r="A1130" s="5">
        <v>1069</v>
      </c>
      <c r="B1130" s="138">
        <f>'Expenditures 15-22'!K63</f>
        <v>16568</v>
      </c>
      <c r="C1130" s="2" t="s">
        <v>573</v>
      </c>
      <c r="D1130" s="2" t="str">
        <f t="shared" si="16"/>
        <v>Error?</v>
      </c>
    </row>
    <row r="1131" spans="1:4" x14ac:dyDescent="0.2">
      <c r="A1131" s="5">
        <v>1070</v>
      </c>
      <c r="B1131" s="138">
        <f>'Expenditures 15-22'!K64</f>
        <v>13681</v>
      </c>
      <c r="C1131" s="2" t="s">
        <v>573</v>
      </c>
      <c r="D1131" s="2" t="str">
        <f t="shared" si="16"/>
        <v>Error?</v>
      </c>
    </row>
    <row r="1132" spans="1:4" x14ac:dyDescent="0.2">
      <c r="A1132" s="10">
        <v>1071</v>
      </c>
      <c r="D1132" s="2" t="str">
        <f t="shared" si="16"/>
        <v>OK</v>
      </c>
    </row>
    <row r="1133" spans="1:4" x14ac:dyDescent="0.2">
      <c r="A1133" s="5">
        <v>1072</v>
      </c>
      <c r="B1133" s="138">
        <f>'Expenditures 15-22'!K65</f>
        <v>440257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95730</v>
      </c>
      <c r="C1135" s="2" t="s">
        <v>573</v>
      </c>
      <c r="D1135" s="2" t="str">
        <f t="shared" si="16"/>
        <v>Error?</v>
      </c>
    </row>
    <row r="1136" spans="1:4" x14ac:dyDescent="0.2">
      <c r="A1136" s="5">
        <v>1075</v>
      </c>
      <c r="B1136" s="138">
        <f>'Expenditures 15-22'!K69</f>
        <v>45369</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25160</v>
      </c>
      <c r="C1139" s="2" t="s">
        <v>573</v>
      </c>
      <c r="D1139" s="2" t="str">
        <f t="shared" si="16"/>
        <v>Error?</v>
      </c>
    </row>
    <row r="1140" spans="1:4" x14ac:dyDescent="0.2">
      <c r="A1140" s="10">
        <v>1079</v>
      </c>
      <c r="D1140" s="2" t="str">
        <f t="shared" si="16"/>
        <v>OK</v>
      </c>
    </row>
    <row r="1141" spans="1:4" x14ac:dyDescent="0.2">
      <c r="A1141" s="5">
        <v>1080</v>
      </c>
      <c r="B1141" s="138">
        <f>'Expenditures 15-22'!K72</f>
        <v>166259</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3677004</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311705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5173590</v>
      </c>
      <c r="C1152" s="2" t="s">
        <v>573</v>
      </c>
      <c r="D1152" s="2" t="str">
        <f t="shared" si="17"/>
        <v>Error?</v>
      </c>
    </row>
    <row r="1153" spans="1:4" x14ac:dyDescent="0.2">
      <c r="A1153" s="5">
        <v>1092</v>
      </c>
      <c r="B1153" s="138">
        <f>'Expenditures 15-22'!K115</f>
        <v>-328635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445320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445320</v>
      </c>
      <c r="C1547" s="2" t="s">
        <v>573</v>
      </c>
      <c r="D1547" s="2" t="str">
        <f t="shared" si="23"/>
        <v>Error?</v>
      </c>
    </row>
    <row r="1548" spans="1:4" x14ac:dyDescent="0.2">
      <c r="A1548" s="5">
        <v>1487</v>
      </c>
      <c r="B1548" s="138">
        <f>'Expenditures 15-22'!G312</f>
        <v>445320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445320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445320</v>
      </c>
      <c r="C1559" s="2" t="s">
        <v>573</v>
      </c>
      <c r="D1559" s="2" t="str">
        <f t="shared" si="23"/>
        <v>Error?</v>
      </c>
    </row>
    <row r="1560" spans="1:4" x14ac:dyDescent="0.2">
      <c r="A1560" s="5">
        <v>1499</v>
      </c>
      <c r="B1560" s="138">
        <f>'Expenditures 15-22'!K312</f>
        <v>445320</v>
      </c>
      <c r="C1560" s="2" t="s">
        <v>573</v>
      </c>
      <c r="D1560" s="2" t="str">
        <f t="shared" si="23"/>
        <v>Error?</v>
      </c>
    </row>
    <row r="1561" spans="1:4" x14ac:dyDescent="0.2">
      <c r="A1561" s="5">
        <v>1500</v>
      </c>
      <c r="B1561" s="138">
        <f>'Expenditures 15-22'!K313</f>
        <v>554680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770026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441391</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554680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1131227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1131227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445320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63623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508943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445320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1194850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1640170</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976533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976533</v>
      </c>
      <c r="C2037" s="2" t="s">
        <v>573</v>
      </c>
      <c r="D2037" s="2" t="str">
        <f t="shared" si="30"/>
        <v>Error?</v>
      </c>
    </row>
    <row r="2038" spans="1:4" x14ac:dyDescent="0.2">
      <c r="A2038" s="10">
        <v>1977</v>
      </c>
      <c r="D2038" s="2" t="str">
        <f t="shared" si="30"/>
        <v>OK</v>
      </c>
    </row>
    <row r="2039" spans="1:4" x14ac:dyDescent="0.2">
      <c r="A2039" s="5">
        <v>1978</v>
      </c>
      <c r="B2039" s="138">
        <f>'Cap Outlay Deprec 26'!I8</f>
        <v>8906</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85915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94821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8906</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1062448</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1071354</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436414</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132402</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568816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280000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311705</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2896532</v>
      </c>
      <c r="C2551" s="2" t="s">
        <v>573</v>
      </c>
      <c r="D2551" s="2" t="str">
        <f t="shared" si="38"/>
        <v>Error?</v>
      </c>
    </row>
    <row r="2552" spans="1:4" x14ac:dyDescent="0.2">
      <c r="A2552" s="10">
        <v>2491</v>
      </c>
      <c r="D2552" s="2" t="str">
        <f t="shared" si="38"/>
        <v>OK</v>
      </c>
    </row>
    <row r="2553" spans="1:4" x14ac:dyDescent="0.2">
      <c r="A2553" s="5">
        <v>2492</v>
      </c>
      <c r="B2553" s="138">
        <f>'Acct Summary 7-8'!C6</f>
        <v>361048</v>
      </c>
      <c r="C2553" s="2" t="s">
        <v>573</v>
      </c>
      <c r="D2553" s="2" t="str">
        <f t="shared" si="38"/>
        <v>Error?</v>
      </c>
    </row>
    <row r="2554" spans="1:4" x14ac:dyDescent="0.2">
      <c r="A2554" s="5">
        <v>2493</v>
      </c>
      <c r="B2554" s="138">
        <f>'Acct Summary 7-8'!C7</f>
        <v>1587375</v>
      </c>
      <c r="C2554" s="2" t="s">
        <v>573</v>
      </c>
      <c r="D2554" s="2" t="str">
        <f t="shared" si="38"/>
        <v>Error?</v>
      </c>
    </row>
    <row r="2555" spans="1:4" x14ac:dyDescent="0.2">
      <c r="A2555" s="5">
        <v>2494</v>
      </c>
      <c r="B2555" s="138">
        <f>'Acct Summary 7-8'!C8</f>
        <v>4844955</v>
      </c>
      <c r="C2555" s="2" t="s">
        <v>573</v>
      </c>
      <c r="D2555" s="2" t="str">
        <f t="shared" si="38"/>
        <v>Error?</v>
      </c>
    </row>
    <row r="2556" spans="1:4" x14ac:dyDescent="0.2">
      <c r="A2556" s="5">
        <v>2495</v>
      </c>
      <c r="B2556" s="138">
        <f>'Acct Summary 7-8'!C12</f>
        <v>1184881</v>
      </c>
      <c r="C2556" s="2" t="s">
        <v>573</v>
      </c>
      <c r="D2556" s="2" t="str">
        <f t="shared" si="38"/>
        <v>Error?</v>
      </c>
    </row>
    <row r="2557" spans="1:4" x14ac:dyDescent="0.2">
      <c r="A2557" s="5">
        <v>2496</v>
      </c>
      <c r="B2557" s="138">
        <f>'Acct Summary 7-8'!C13</f>
        <v>3677004</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311705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5173590</v>
      </c>
      <c r="C2561" s="2" t="s">
        <v>573</v>
      </c>
      <c r="D2561" s="2" t="str">
        <f t="shared" si="39"/>
        <v>Error?</v>
      </c>
    </row>
    <row r="2562" spans="1:4" x14ac:dyDescent="0.2">
      <c r="A2562" s="5">
        <v>2501</v>
      </c>
      <c r="B2562" s="138">
        <f>'Acct Summary 7-8'!C20</f>
        <v>-328635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1000000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1000000</v>
      </c>
      <c r="C2658" s="2" t="s">
        <v>573</v>
      </c>
      <c r="D2658" s="2" t="str">
        <f t="shared" si="40"/>
        <v>Error?</v>
      </c>
    </row>
    <row r="2659" spans="1:4" x14ac:dyDescent="0.2">
      <c r="A2659" s="5">
        <v>2598</v>
      </c>
      <c r="B2659" s="138">
        <f>'Acct Summary 7-8'!H13</f>
        <v>445320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445320</v>
      </c>
      <c r="C2661" s="2" t="s">
        <v>573</v>
      </c>
      <c r="D2661" s="2" t="str">
        <f t="shared" si="40"/>
        <v>Error?</v>
      </c>
    </row>
    <row r="2662" spans="1:4" x14ac:dyDescent="0.2">
      <c r="A2662" s="5">
        <v>2601</v>
      </c>
      <c r="B2662" s="138">
        <f>'Acct Summary 7-8'!H20</f>
        <v>554680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514143</v>
      </c>
      <c r="D2718" s="2" t="str">
        <f t="shared" si="41"/>
        <v>Error?</v>
      </c>
    </row>
    <row r="2719" spans="1:4" x14ac:dyDescent="0.2">
      <c r="A2719" s="5">
        <v>2658</v>
      </c>
      <c r="B2719" s="138">
        <f>'Expenditures 15-22'!D51</f>
        <v>102540</v>
      </c>
      <c r="D2719" s="2" t="str">
        <f t="shared" si="41"/>
        <v>Error?</v>
      </c>
    </row>
    <row r="2720" spans="1:4" x14ac:dyDescent="0.2">
      <c r="A2720" s="5">
        <v>2659</v>
      </c>
      <c r="B2720" s="138">
        <f>'Expenditures 15-22'!E51</f>
        <v>42431</v>
      </c>
      <c r="D2720" s="2" t="str">
        <f t="shared" si="41"/>
        <v>Error?</v>
      </c>
    </row>
    <row r="2721" spans="1:4" x14ac:dyDescent="0.2">
      <c r="A2721" s="5">
        <v>2660</v>
      </c>
      <c r="B2721" s="138">
        <f>'Expenditures 15-22'!F51</f>
        <v>33044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3250</v>
      </c>
      <c r="D2723" s="2" t="str">
        <f t="shared" si="41"/>
        <v>Error?</v>
      </c>
    </row>
    <row r="2724" spans="1:4" x14ac:dyDescent="0.2">
      <c r="A2724" s="5">
        <v>2663</v>
      </c>
      <c r="B2724" s="138">
        <f>'Expenditures 15-22'!K51</f>
        <v>695408</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31705</v>
      </c>
      <c r="C2789" s="2" t="s">
        <v>573</v>
      </c>
      <c r="D2789" s="2" t="str">
        <f t="shared" si="42"/>
        <v>Error?</v>
      </c>
    </row>
    <row r="2790" spans="1:4" x14ac:dyDescent="0.2">
      <c r="A2790" s="5">
        <v>2729</v>
      </c>
      <c r="B2790" s="138">
        <f>'Expenditures 15-22'!E102</f>
        <v>31705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31705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280000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311705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135198</v>
      </c>
      <c r="D3055" s="2" t="str">
        <f t="shared" si="46"/>
        <v>Error?</v>
      </c>
    </row>
    <row r="3056" spans="1:4" x14ac:dyDescent="0.2">
      <c r="A3056" s="5">
        <v>2995</v>
      </c>
      <c r="B3056" s="138">
        <f>'Expenditures 15-22'!D10</f>
        <v>20776</v>
      </c>
      <c r="D3056" s="2" t="str">
        <f t="shared" si="46"/>
        <v>Error?</v>
      </c>
    </row>
    <row r="3057" spans="1:4" x14ac:dyDescent="0.2">
      <c r="A3057" s="5">
        <v>2996</v>
      </c>
      <c r="B3057" s="138">
        <f>'Expenditures 15-22'!E10</f>
        <v>2514</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158488</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-328635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554680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713445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205336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20661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8428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16577</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964562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158755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30604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4875559</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1000000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30604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5204194</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445320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441391</v>
      </c>
      <c r="C4269" s="2" t="s">
        <v>573</v>
      </c>
      <c r="D4269" s="2" t="str">
        <f t="shared" si="65"/>
        <v>Error?</v>
      </c>
    </row>
    <row r="4270" spans="1:5" x14ac:dyDescent="0.2">
      <c r="A4270" s="12">
        <v>4209</v>
      </c>
      <c r="B4270" s="138">
        <f>'FP Info 3'!D24</f>
        <v>50000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63821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57703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67242</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f>'FP Info 3'!H31</f>
        <v>0</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410160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410160</v>
      </c>
      <c r="C5087" s="2" t="s">
        <v>573</v>
      </c>
      <c r="D5087" s="2" t="str">
        <f t="shared" si="78"/>
        <v>Error?</v>
      </c>
    </row>
    <row r="5088" spans="1:4" x14ac:dyDescent="0.2">
      <c r="A5088" s="5">
        <v>5027</v>
      </c>
      <c r="B5088" s="138">
        <f>'Revenues 9-14'!C65</f>
        <v>1212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1212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2211</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1650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2462549</v>
      </c>
      <c r="D5118" s="2" t="str">
        <f t="shared" si="78"/>
        <v>Error?</v>
      </c>
    </row>
    <row r="5119" spans="1:4" x14ac:dyDescent="0.2">
      <c r="A5119" s="5">
        <v>5058</v>
      </c>
      <c r="B5119" s="138">
        <f>'Revenues 9-14'!C107</f>
        <v>18750</v>
      </c>
      <c r="D5119" s="2" t="str">
        <f t="shared" ref="D5119:D5182" si="79">IF(ISBLANK(B5119),"OK",IF(A5119-B5119=0,"OK","Error?"))</f>
        <v>Error?</v>
      </c>
    </row>
    <row r="5120" spans="1:4" x14ac:dyDescent="0.2">
      <c r="A5120" s="5">
        <v>5059</v>
      </c>
      <c r="B5120" s="138">
        <f>'Revenues 9-14'!C108</f>
        <v>2482949</v>
      </c>
      <c r="C5120" s="2" t="s">
        <v>573</v>
      </c>
      <c r="D5120" s="2" t="str">
        <f t="shared" si="79"/>
        <v>Error?</v>
      </c>
    </row>
    <row r="5121" spans="1:4" x14ac:dyDescent="0.2">
      <c r="A5121" s="5">
        <v>5060</v>
      </c>
      <c r="B5121" s="138">
        <f>'Revenues 9-14'!C109</f>
        <v>2896532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360614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360614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434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434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361048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12701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7472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20173</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67808</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1310628</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1378436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1587375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1587375</v>
      </c>
      <c r="C5326" s="2" t="s">
        <v>573</v>
      </c>
      <c r="D5326" s="2" t="str">
        <f t="shared" si="82"/>
        <v>Error?</v>
      </c>
    </row>
    <row r="5327" spans="1:5" x14ac:dyDescent="0.2">
      <c r="A5327" s="5">
        <v>5266</v>
      </c>
      <c r="B5327" s="138">
        <f>'Revenues 9-14'!C268</f>
        <v>4844955</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1000000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1000000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1000000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1000000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2211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50000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50000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49531</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447704</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557405</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49531</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50000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52256</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-328635</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554680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-0.74454395309374233</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f>'Acct Summary 7-8'!H83</f>
        <v>1</v>
      </c>
      <c r="D6281" s="2" t="str">
        <f t="shared" si="97"/>
        <v>Error?</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61831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34851</v>
      </c>
      <c r="D6933" s="2" t="str">
        <f t="shared" si="107"/>
        <v>Error?</v>
      </c>
    </row>
    <row r="6934" spans="1:4" x14ac:dyDescent="0.2">
      <c r="A6934">
        <v>6873</v>
      </c>
      <c r="B6934" s="138">
        <f>'Expenditures 15-22'!E52</f>
        <v>15326</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50177</v>
      </c>
      <c r="D6940" s="2" t="str">
        <f t="shared" si="107"/>
        <v>Error?</v>
      </c>
    </row>
    <row r="6941" spans="1:4" x14ac:dyDescent="0.2">
      <c r="A6941">
        <v>6880</v>
      </c>
      <c r="B6941" s="138">
        <f>'Expenditures 15-22'!L52</f>
        <v>80059</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46416</v>
      </c>
      <c r="D7251" s="2" t="str">
        <f t="shared" si="112"/>
        <v>Error?</v>
      </c>
    </row>
    <row r="7252" spans="1:4" x14ac:dyDescent="0.2">
      <c r="A7252">
        <f t="shared" si="113"/>
        <v>7191</v>
      </c>
      <c r="B7252" s="138">
        <f>'Expenditures 15-22'!D9</f>
        <v>15060</v>
      </c>
      <c r="D7252" s="2" t="str">
        <f t="shared" si="112"/>
        <v>Error?</v>
      </c>
    </row>
    <row r="7253" spans="1:4" x14ac:dyDescent="0.2">
      <c r="A7253">
        <f t="shared" si="113"/>
        <v>7192</v>
      </c>
      <c r="B7253" s="138">
        <f>'Expenditures 15-22'!E9</f>
        <v>355</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94821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195240</v>
      </c>
      <c r="D7797" s="2" t="str">
        <f t="shared" si="127"/>
        <v>Error?</v>
      </c>
      <c r="E7797" s="4" t="s">
        <v>1901</v>
      </c>
    </row>
    <row r="7798" spans="1:5" x14ac:dyDescent="0.2">
      <c r="A7798">
        <v>7737</v>
      </c>
      <c r="B7798" s="138">
        <f>'Contracts Paid in CY 29'!F141</f>
        <v>50000</v>
      </c>
      <c r="D7798" s="2" t="str">
        <f t="shared" si="127"/>
        <v>Error?</v>
      </c>
      <c r="E7798" s="4" t="s">
        <v>1901</v>
      </c>
    </row>
    <row r="7799" spans="1:5" x14ac:dyDescent="0.2">
      <c r="A7799">
        <v>7738</v>
      </c>
      <c r="B7799" s="138">
        <f>'Contracts Paid in CY 29'!G141</f>
        <v>145240</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L21" sqref="L21"/>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3" t="s">
        <v>1191</v>
      </c>
      <c r="B2" s="2403"/>
      <c r="C2" s="2403"/>
      <c r="D2" s="2403"/>
      <c r="E2" s="2403"/>
      <c r="F2" s="2403"/>
      <c r="G2" s="2403"/>
      <c r="H2" s="2403"/>
      <c r="I2" s="2403"/>
      <c r="J2" s="2403"/>
      <c r="K2" s="2403"/>
      <c r="L2" s="2403"/>
    </row>
    <row r="3" spans="1:29" ht="13.5" customHeight="1" x14ac:dyDescent="0.2">
      <c r="A3" s="2389" t="s">
        <v>1190</v>
      </c>
      <c r="B3" s="2389"/>
      <c r="C3" s="2389"/>
      <c r="D3" s="2389"/>
      <c r="E3" s="2389"/>
      <c r="F3" s="2389"/>
      <c r="G3" s="2389"/>
      <c r="H3" s="2389"/>
      <c r="I3" s="2389"/>
      <c r="J3" s="2389"/>
      <c r="K3" s="2389"/>
      <c r="L3" s="2389"/>
    </row>
    <row r="4" spans="1:29" ht="13.5" customHeight="1" x14ac:dyDescent="0.2">
      <c r="A4" s="2403" t="s">
        <v>1986</v>
      </c>
      <c r="B4" s="2420"/>
      <c r="C4" s="2420"/>
      <c r="D4" s="2420"/>
      <c r="E4" s="2420"/>
      <c r="F4" s="2420"/>
      <c r="G4" s="2420"/>
      <c r="H4" s="2420"/>
      <c r="I4" s="2420"/>
      <c r="J4" s="2420"/>
      <c r="K4" s="2420"/>
      <c r="L4" s="242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3" t="str">
        <f>COVER!A17</f>
        <v>Livingston Co Spec Services Unit</v>
      </c>
      <c r="B7" s="2384"/>
      <c r="C7" s="2384"/>
      <c r="D7" s="2421"/>
      <c r="E7" s="2422">
        <f>COVER!A13</f>
        <v>17053000061</v>
      </c>
      <c r="F7" s="2423"/>
      <c r="G7" s="2390" t="str">
        <f>COVER!T23</f>
        <v>066-005232</v>
      </c>
      <c r="H7" s="2391"/>
      <c r="I7" s="2391"/>
      <c r="J7" s="2391"/>
      <c r="K7" s="2391"/>
      <c r="L7" s="239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3"/>
      <c r="B9" s="2394"/>
      <c r="C9" s="2394"/>
      <c r="D9" s="2394"/>
      <c r="E9" s="2394"/>
      <c r="F9" s="2395"/>
      <c r="G9" s="2396" t="str">
        <f>COVER!T13</f>
        <v>MCK, CPAs &amp; Advisors</v>
      </c>
      <c r="H9" s="2397"/>
      <c r="I9" s="2397"/>
      <c r="J9" s="2397"/>
      <c r="K9" s="2397"/>
      <c r="L9" s="2398"/>
    </row>
    <row r="10" spans="1:29" ht="13.5" customHeight="1" x14ac:dyDescent="0.2">
      <c r="A10" s="2380" t="str">
        <f>COVER!A38</f>
        <v>Joshua Olsen</v>
      </c>
      <c r="B10" s="2381"/>
      <c r="C10" s="2381"/>
      <c r="D10" s="2381"/>
      <c r="E10" s="2381"/>
      <c r="F10" s="2382"/>
      <c r="G10" s="2396" t="str">
        <f>COVER!T17</f>
        <v>207 W Jefferson St</v>
      </c>
      <c r="H10" s="2409"/>
      <c r="I10" s="2409"/>
      <c r="J10" s="2409"/>
      <c r="K10" s="2409"/>
      <c r="L10" s="2410"/>
    </row>
    <row r="11" spans="1:29" ht="13.5" customHeight="1" x14ac:dyDescent="0.2">
      <c r="A11" s="1184" t="s">
        <v>1519</v>
      </c>
      <c r="B11" s="1185"/>
      <c r="C11" s="1186"/>
      <c r="D11" s="1191"/>
      <c r="E11" s="1186"/>
      <c r="F11" s="1190"/>
      <c r="G11" s="2396" t="str">
        <f>COVER!T19</f>
        <v>Bloomington</v>
      </c>
      <c r="H11" s="2409"/>
      <c r="I11" s="2409"/>
      <c r="J11" s="2409"/>
      <c r="K11" s="2409"/>
      <c r="L11" s="2410"/>
    </row>
    <row r="12" spans="1:29" ht="13.5" customHeight="1" x14ac:dyDescent="0.2">
      <c r="A12" s="2414" t="s">
        <v>1518</v>
      </c>
      <c r="B12" s="2415"/>
      <c r="C12" s="2415"/>
      <c r="D12" s="2415"/>
      <c r="E12" s="2415"/>
      <c r="F12" s="2416"/>
      <c r="G12" s="2411"/>
      <c r="H12" s="2412"/>
      <c r="I12" s="2412"/>
      <c r="J12" s="2412"/>
      <c r="K12" s="2412"/>
      <c r="L12" s="2413"/>
    </row>
    <row r="13" spans="1:29" ht="13.5" customHeight="1" x14ac:dyDescent="0.2">
      <c r="A13" s="2396"/>
      <c r="B13" s="2409"/>
      <c r="C13" s="2409"/>
      <c r="D13" s="2409"/>
      <c r="E13" s="2409"/>
      <c r="F13" s="2410"/>
      <c r="G13" s="2404" t="s">
        <v>1520</v>
      </c>
      <c r="H13" s="2405"/>
      <c r="I13" s="2417" t="str">
        <f>COVER!T25</f>
        <v>dcarlson@mckcpa.com</v>
      </c>
      <c r="J13" s="2418"/>
      <c r="K13" s="2418"/>
      <c r="L13" s="2419"/>
    </row>
    <row r="14" spans="1:29" ht="13.5" customHeight="1" x14ac:dyDescent="0.2">
      <c r="A14" s="2396" t="str">
        <f>COVER!A19</f>
        <v>205 N Adams St</v>
      </c>
      <c r="B14" s="2409"/>
      <c r="C14" s="2409"/>
      <c r="D14" s="2409"/>
      <c r="E14" s="2409"/>
      <c r="F14" s="2410"/>
      <c r="G14" s="1195" t="s">
        <v>1185</v>
      </c>
      <c r="H14" s="1193"/>
      <c r="I14" s="1193"/>
      <c r="J14" s="1193"/>
      <c r="K14" s="1193"/>
      <c r="L14" s="1194"/>
    </row>
    <row r="15" spans="1:29" ht="13.5" customHeight="1" x14ac:dyDescent="0.2">
      <c r="A15" s="2396" t="str">
        <f>COVER!A21</f>
        <v>Flanagan</v>
      </c>
      <c r="B15" s="2409"/>
      <c r="C15" s="2409"/>
      <c r="D15" s="2409"/>
      <c r="E15" s="2409"/>
      <c r="F15" s="2410"/>
      <c r="G15" s="2406" t="str">
        <f>COVER!T15</f>
        <v>Dawn M Carlson</v>
      </c>
      <c r="H15" s="2407"/>
      <c r="I15" s="2407"/>
      <c r="J15" s="2407"/>
      <c r="K15" s="2407"/>
      <c r="L15" s="2408"/>
    </row>
    <row r="16" spans="1:29" ht="12.2" customHeight="1" x14ac:dyDescent="0.2">
      <c r="A16" s="2386">
        <f>COVER!A25</f>
        <v>61740</v>
      </c>
      <c r="B16" s="2387"/>
      <c r="C16" s="2387"/>
      <c r="D16" s="2387"/>
      <c r="E16" s="2387"/>
      <c r="F16" s="2388"/>
      <c r="G16" s="2399"/>
      <c r="H16" s="2400"/>
      <c r="I16" s="2400"/>
      <c r="J16" s="2400"/>
      <c r="K16" s="2400"/>
      <c r="L16" s="2401"/>
    </row>
    <row r="17" spans="1:13" ht="12.2" customHeight="1" x14ac:dyDescent="0.2">
      <c r="A17" s="2402"/>
      <c r="B17" s="2387"/>
      <c r="C17" s="2387"/>
      <c r="D17" s="2387"/>
      <c r="E17" s="2387"/>
      <c r="F17" s="2388"/>
      <c r="G17" s="1195" t="s">
        <v>1184</v>
      </c>
      <c r="H17" s="1193"/>
      <c r="I17" s="1193"/>
      <c r="J17" s="1193"/>
      <c r="K17" s="1197" t="s">
        <v>1183</v>
      </c>
      <c r="L17" s="1190"/>
      <c r="M17" s="1183"/>
    </row>
    <row r="18" spans="1:13" ht="12.2" customHeight="1" x14ac:dyDescent="0.2">
      <c r="A18" s="2380"/>
      <c r="B18" s="2381"/>
      <c r="C18" s="2381"/>
      <c r="D18" s="2381"/>
      <c r="E18" s="2381"/>
      <c r="F18" s="2382"/>
      <c r="G18" s="2383" t="str">
        <f>COVER!T21</f>
        <v>(309) 828-6071</v>
      </c>
      <c r="H18" s="2384"/>
      <c r="I18" s="2384"/>
      <c r="J18" s="2384"/>
      <c r="K18" s="2383" t="str">
        <f>COVER!X21</f>
        <v>(309) 827-2465</v>
      </c>
      <c r="L18" s="238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Livingston Co Spec Services Unit</v>
      </c>
      <c r="B1" s="2420"/>
      <c r="C1" s="2420"/>
      <c r="D1" s="2420"/>
    </row>
    <row r="2" spans="1:11" s="1212" customFormat="1" ht="12.75" x14ac:dyDescent="0.2">
      <c r="A2" s="2425">
        <f>'Single Audit Cover'!E7</f>
        <v>17053000061</v>
      </c>
      <c r="B2" s="2426"/>
      <c r="C2" s="2426"/>
      <c r="D2" s="2426"/>
    </row>
    <row r="3" spans="1:11" s="1212" customFormat="1" ht="12.75" x14ac:dyDescent="0.2">
      <c r="A3" s="2424" t="s">
        <v>1513</v>
      </c>
      <c r="B3" s="2420"/>
      <c r="C3" s="2420"/>
      <c r="D3" s="242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F36" sqref="F3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Livingston Co Spec Services Unit</v>
      </c>
      <c r="B1" s="2428"/>
      <c r="C1" s="2428"/>
      <c r="D1" s="2428"/>
      <c r="E1" s="2428"/>
    </row>
    <row r="2" spans="1:5" x14ac:dyDescent="0.2">
      <c r="A2" s="2429">
        <f>'Single Audit Cover'!E7</f>
        <v>17053000061</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1587375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1841</v>
      </c>
      <c r="B16" s="1259"/>
      <c r="C16" s="1259"/>
    </row>
    <row r="17" spans="1:4" x14ac:dyDescent="0.2">
      <c r="A17" s="1258" t="s">
        <v>2058</v>
      </c>
      <c r="B17" s="1259" t="s">
        <v>1236</v>
      </c>
      <c r="C17" s="1259"/>
      <c r="D17" s="1261">
        <f>-SUM('Revenues 9-14'!C264:D264,'Revenues 9-14'!F264:G264)</f>
        <v>-57703</v>
      </c>
    </row>
    <row r="19" spans="1:4" ht="13.5" thickBot="1" x14ac:dyDescent="0.25">
      <c r="A19" s="1262" t="s">
        <v>1235</v>
      </c>
      <c r="D19" s="1263">
        <f>SUM(D10:D17)</f>
        <v>1529672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t="s">
        <v>2138</v>
      </c>
      <c r="B24" s="2430"/>
      <c r="D24" s="1265"/>
    </row>
    <row r="25" spans="1:4" x14ac:dyDescent="0.2">
      <c r="A25" s="2427" t="s">
        <v>2139</v>
      </c>
      <c r="B25" s="2427"/>
      <c r="D25" s="1265"/>
    </row>
    <row r="26" spans="1:4" x14ac:dyDescent="0.2">
      <c r="A26" s="2427" t="s">
        <v>2140</v>
      </c>
      <c r="B26" s="2427"/>
      <c r="D26" s="1265">
        <v>-5398</v>
      </c>
    </row>
    <row r="27" spans="1:4" x14ac:dyDescent="0.2">
      <c r="A27" s="2427" t="s">
        <v>2141</v>
      </c>
      <c r="B27" s="2427"/>
      <c r="D27" s="1265">
        <v>-149715</v>
      </c>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1374559</v>
      </c>
    </row>
    <row r="33" spans="1:4" x14ac:dyDescent="0.2">
      <c r="D33" s="1266"/>
    </row>
    <row r="34" spans="1:4" x14ac:dyDescent="0.2">
      <c r="A34" s="317" t="s">
        <v>1232</v>
      </c>
    </row>
    <row r="35" spans="1:4" x14ac:dyDescent="0.2">
      <c r="A35" s="317" t="s">
        <v>1231</v>
      </c>
      <c r="B35" s="1255" t="s">
        <v>1230</v>
      </c>
      <c r="D35" s="1267">
        <v>1605444</v>
      </c>
    </row>
    <row r="37" spans="1:4" x14ac:dyDescent="0.2">
      <c r="A37" s="1257" t="s">
        <v>1229</v>
      </c>
    </row>
    <row r="39" spans="1:4" ht="13.35" customHeight="1" x14ac:dyDescent="0.2">
      <c r="A39" s="1264" t="s">
        <v>1228</v>
      </c>
    </row>
    <row r="40" spans="1:4" x14ac:dyDescent="0.2">
      <c r="A40" s="2427" t="s">
        <v>2142</v>
      </c>
      <c r="B40" s="2427"/>
      <c r="D40" s="1265"/>
    </row>
    <row r="41" spans="1:4" x14ac:dyDescent="0.2">
      <c r="A41" s="2427" t="s">
        <v>2143</v>
      </c>
      <c r="B41" s="2427"/>
      <c r="D41" s="1268"/>
    </row>
    <row r="42" spans="1:4" x14ac:dyDescent="0.2">
      <c r="A42" s="2427" t="s">
        <v>2140</v>
      </c>
      <c r="B42" s="2427"/>
      <c r="D42" s="1268">
        <v>-5447</v>
      </c>
    </row>
    <row r="43" spans="1:4" x14ac:dyDescent="0.2">
      <c r="A43" s="2427" t="s">
        <v>2141</v>
      </c>
      <c r="B43" s="2427"/>
      <c r="D43" s="1268">
        <v>-225438</v>
      </c>
    </row>
    <row r="44" spans="1:4" x14ac:dyDescent="0.2">
      <c r="A44" s="2427"/>
      <c r="B44" s="2427"/>
      <c r="D44" s="1268"/>
    </row>
    <row r="45" spans="1:4" x14ac:dyDescent="0.2">
      <c r="A45" s="2427"/>
      <c r="B45" s="2427"/>
      <c r="D45" s="1268"/>
    </row>
    <row r="47" spans="1:4" x14ac:dyDescent="0.2">
      <c r="B47" s="1269" t="s">
        <v>1227</v>
      </c>
      <c r="C47" s="1269"/>
      <c r="D47" s="1270">
        <f>SUM(D35:D45)</f>
        <v>1374559</v>
      </c>
    </row>
    <row r="49" spans="2:4" x14ac:dyDescent="0.2">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2"/>
  <sheetViews>
    <sheetView showGridLines="0" view="pageLayout" zoomScaleNormal="100" workbookViewId="0">
      <selection activeCell="B19" sqref="B1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9" t="str">
        <f>'Single Audit Cover'!A7</f>
        <v>Livingston Co Spec Services Unit</v>
      </c>
      <c r="C1" s="2432"/>
      <c r="D1" s="2432"/>
      <c r="E1" s="2432"/>
      <c r="F1" s="2432"/>
      <c r="G1" s="2432"/>
      <c r="H1" s="2432"/>
      <c r="I1" s="2432"/>
      <c r="J1" s="2432"/>
      <c r="K1" s="2432"/>
      <c r="L1" s="2432"/>
      <c r="M1" s="2432"/>
    </row>
    <row r="2" spans="2:14" ht="15" x14ac:dyDescent="0.2">
      <c r="B2" s="2433">
        <f>'Single Audit Cover'!E7</f>
        <v>17053000061</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1987</v>
      </c>
      <c r="K8" s="1316" t="s">
        <v>1261</v>
      </c>
      <c r="L8" s="1317" t="s">
        <v>1257</v>
      </c>
      <c r="M8" s="1318" t="s">
        <v>30</v>
      </c>
    </row>
    <row r="9" spans="2:14" ht="14.25" x14ac:dyDescent="0.2">
      <c r="B9" s="1322" t="s">
        <v>1259</v>
      </c>
      <c r="C9" s="1310" t="s">
        <v>1733</v>
      </c>
      <c r="D9" s="1311" t="s">
        <v>1734</v>
      </c>
      <c r="E9" s="1319" t="s">
        <v>1837</v>
      </c>
      <c r="F9" s="1320" t="s">
        <v>1987</v>
      </c>
      <c r="G9" s="1321" t="s">
        <v>1837</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2102</v>
      </c>
      <c r="C11" s="1335"/>
      <c r="D11" s="1336"/>
      <c r="E11" s="1337"/>
      <c r="F11" s="1337"/>
      <c r="G11" s="1337"/>
      <c r="H11" s="1337"/>
      <c r="I11" s="1337"/>
      <c r="J11" s="1337"/>
      <c r="K11" s="1337"/>
      <c r="L11" s="1337">
        <f>+G11+I11+K11</f>
        <v>0</v>
      </c>
      <c r="M11" s="1337"/>
    </row>
    <row r="12" spans="2:14" ht="20.100000000000001" customHeight="1" x14ac:dyDescent="0.2">
      <c r="B12" s="1334" t="s">
        <v>2103</v>
      </c>
      <c r="C12" s="1338"/>
      <c r="D12" s="1339"/>
      <c r="E12" s="1340"/>
      <c r="F12" s="1340"/>
      <c r="G12" s="1340"/>
      <c r="H12" s="1340"/>
      <c r="I12" s="1340"/>
      <c r="J12" s="1340"/>
      <c r="K12" s="1340"/>
      <c r="L12" s="1337">
        <f t="shared" ref="L12:L27" si="0">+G12+I12+K12</f>
        <v>0</v>
      </c>
      <c r="M12" s="1340"/>
    </row>
    <row r="13" spans="2:14" ht="20.100000000000001" customHeight="1" x14ac:dyDescent="0.2">
      <c r="B13" s="1334" t="s">
        <v>1058</v>
      </c>
      <c r="C13" s="1338">
        <v>10.553000000000001</v>
      </c>
      <c r="D13" s="1339" t="s">
        <v>2110</v>
      </c>
      <c r="E13" s="1340"/>
      <c r="F13" s="1340">
        <v>10353</v>
      </c>
      <c r="G13" s="1340"/>
      <c r="H13" s="1340"/>
      <c r="I13" s="1340">
        <v>10353</v>
      </c>
      <c r="J13" s="1340"/>
      <c r="K13" s="1340"/>
      <c r="L13" s="1337">
        <f t="shared" si="0"/>
        <v>10353</v>
      </c>
      <c r="M13" s="1340">
        <v>10000</v>
      </c>
    </row>
    <row r="14" spans="2:14" ht="20.100000000000001" customHeight="1" x14ac:dyDescent="0.2">
      <c r="B14" s="1334" t="s">
        <v>1058</v>
      </c>
      <c r="C14" s="1338">
        <v>10.553000000000001</v>
      </c>
      <c r="D14" s="1339" t="s">
        <v>2111</v>
      </c>
      <c r="E14" s="1340">
        <v>8785</v>
      </c>
      <c r="F14" s="1340">
        <v>2348</v>
      </c>
      <c r="G14" s="1340">
        <v>8785</v>
      </c>
      <c r="H14" s="1340"/>
      <c r="I14" s="1340">
        <v>2348</v>
      </c>
      <c r="J14" s="1340"/>
      <c r="K14" s="1340"/>
      <c r="L14" s="1337">
        <f t="shared" si="0"/>
        <v>11133</v>
      </c>
      <c r="M14" s="1340">
        <v>13405</v>
      </c>
    </row>
    <row r="15" spans="2:14" ht="20.100000000000001" customHeight="1" x14ac:dyDescent="0.2">
      <c r="B15" s="1334" t="s">
        <v>1059</v>
      </c>
      <c r="C15" s="1338">
        <v>10.553000000000001</v>
      </c>
      <c r="D15" s="1339" t="s">
        <v>2112</v>
      </c>
      <c r="E15" s="1340"/>
      <c r="F15" s="1340">
        <v>6125</v>
      </c>
      <c r="G15" s="1340"/>
      <c r="H15" s="1340"/>
      <c r="I15" s="1340">
        <v>6125</v>
      </c>
      <c r="J15" s="1340"/>
      <c r="K15" s="1340"/>
      <c r="L15" s="1337">
        <f t="shared" si="0"/>
        <v>6125</v>
      </c>
      <c r="M15" s="1340">
        <v>7000</v>
      </c>
    </row>
    <row r="16" spans="2:14" ht="20.100000000000001" customHeight="1" x14ac:dyDescent="0.2">
      <c r="B16" s="1334" t="s">
        <v>1059</v>
      </c>
      <c r="C16" s="1338">
        <v>10.553000000000001</v>
      </c>
      <c r="D16" s="1339" t="s">
        <v>2113</v>
      </c>
      <c r="E16" s="1340">
        <v>6154</v>
      </c>
      <c r="F16" s="1340">
        <v>1347</v>
      </c>
      <c r="G16" s="1340">
        <v>6154</v>
      </c>
      <c r="H16" s="1340"/>
      <c r="I16" s="1340">
        <v>1347</v>
      </c>
      <c r="J16" s="1340"/>
      <c r="K16" s="1340"/>
      <c r="L16" s="1337">
        <f t="shared" si="0"/>
        <v>7501</v>
      </c>
      <c r="M16" s="1340">
        <v>8500</v>
      </c>
    </row>
    <row r="17" spans="2:14" ht="20.100000000000001" customHeight="1" x14ac:dyDescent="0.2">
      <c r="B17" s="1334" t="s">
        <v>2104</v>
      </c>
      <c r="C17" s="1338"/>
      <c r="D17" s="1339"/>
      <c r="E17" s="1340">
        <f>SUM(E13:E16)</f>
        <v>14939</v>
      </c>
      <c r="F17" s="1340">
        <f>SUM(F13:F16)</f>
        <v>20173</v>
      </c>
      <c r="G17" s="1340">
        <f>SUM(G13:G16)</f>
        <v>14939</v>
      </c>
      <c r="H17" s="1340"/>
      <c r="I17" s="1340">
        <f>SUM(I13:I16)</f>
        <v>20173</v>
      </c>
      <c r="J17" s="1340"/>
      <c r="K17" s="1340"/>
      <c r="L17" s="1337">
        <f t="shared" si="0"/>
        <v>35112</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2105</v>
      </c>
      <c r="C19" s="1338"/>
      <c r="D19" s="1339"/>
      <c r="E19" s="1340"/>
      <c r="F19" s="1340"/>
      <c r="G19" s="1340"/>
      <c r="H19" s="1340"/>
      <c r="I19" s="1340"/>
      <c r="J19" s="1340"/>
      <c r="K19" s="1340"/>
      <c r="L19" s="1337">
        <f t="shared" si="0"/>
        <v>0</v>
      </c>
      <c r="M19" s="1340"/>
    </row>
    <row r="20" spans="2:14" ht="20.100000000000001" customHeight="1" x14ac:dyDescent="0.2">
      <c r="B20" s="1334" t="s">
        <v>2103</v>
      </c>
      <c r="C20" s="1338"/>
      <c r="D20" s="1339"/>
      <c r="E20" s="1340"/>
      <c r="F20" s="1340"/>
      <c r="G20" s="1340"/>
      <c r="H20" s="1340"/>
      <c r="I20" s="1340"/>
      <c r="J20" s="1340"/>
      <c r="K20" s="1340"/>
      <c r="L20" s="1337">
        <f t="shared" si="0"/>
        <v>0</v>
      </c>
      <c r="M20" s="1340"/>
    </row>
    <row r="21" spans="2:14" ht="20.100000000000001" customHeight="1" x14ac:dyDescent="0.2">
      <c r="B21" s="1334" t="s">
        <v>2106</v>
      </c>
      <c r="C21" s="1338">
        <v>93.126000000000005</v>
      </c>
      <c r="D21" s="1339">
        <v>2019</v>
      </c>
      <c r="E21" s="1340"/>
      <c r="F21" s="1340">
        <v>67242</v>
      </c>
      <c r="G21" s="1340"/>
      <c r="H21" s="1340"/>
      <c r="I21" s="1340">
        <v>28901</v>
      </c>
      <c r="J21" s="1340"/>
      <c r="K21" s="1340"/>
      <c r="L21" s="1337">
        <f t="shared" si="0"/>
        <v>28901</v>
      </c>
      <c r="M21" s="1340">
        <v>62849</v>
      </c>
    </row>
    <row r="22" spans="2:14" ht="20.100000000000001" customHeight="1" x14ac:dyDescent="0.2">
      <c r="B22" s="1334" t="s">
        <v>2106</v>
      </c>
      <c r="C22" s="1338">
        <v>93.126000000000005</v>
      </c>
      <c r="D22" s="1339">
        <v>2018</v>
      </c>
      <c r="E22" s="1340">
        <v>62530</v>
      </c>
      <c r="F22" s="1340"/>
      <c r="G22" s="1340">
        <v>61353</v>
      </c>
      <c r="H22" s="1340"/>
      <c r="I22" s="1340"/>
      <c r="J22" s="1340"/>
      <c r="K22" s="1340"/>
      <c r="L22" s="1337">
        <f t="shared" si="0"/>
        <v>61353</v>
      </c>
      <c r="M22" s="1340">
        <v>61940</v>
      </c>
    </row>
    <row r="23" spans="2:14" ht="20.100000000000001" customHeight="1" x14ac:dyDescent="0.2">
      <c r="B23" s="1334" t="s">
        <v>2107</v>
      </c>
      <c r="C23" s="1338"/>
      <c r="D23" s="1339"/>
      <c r="E23" s="1340">
        <f>SUM(E21:E22)</f>
        <v>62530</v>
      </c>
      <c r="F23" s="1340">
        <f>SUM(F21:F22)</f>
        <v>67242</v>
      </c>
      <c r="G23" s="1340">
        <f>SUM(G21:G22)</f>
        <v>61353</v>
      </c>
      <c r="H23" s="1340"/>
      <c r="I23" s="1340">
        <f>SUM(I21:I22)</f>
        <v>28901</v>
      </c>
      <c r="J23" s="1340"/>
      <c r="K23" s="1340"/>
      <c r="L23" s="1337">
        <f t="shared" si="0"/>
        <v>90254</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t="s">
        <v>2108</v>
      </c>
      <c r="C25" s="1338">
        <v>93.778000000000006</v>
      </c>
      <c r="D25" s="1339" t="s">
        <v>2114</v>
      </c>
      <c r="E25" s="1340"/>
      <c r="F25" s="1340">
        <v>63821</v>
      </c>
      <c r="G25" s="1340"/>
      <c r="H25" s="1340"/>
      <c r="I25" s="1340">
        <v>64484</v>
      </c>
      <c r="J25" s="1340"/>
      <c r="K25" s="1340"/>
      <c r="L25" s="1337">
        <f t="shared" si="0"/>
        <v>64484</v>
      </c>
      <c r="M25" s="1340">
        <v>210000</v>
      </c>
    </row>
    <row r="26" spans="2:14" ht="20.100000000000001" customHeight="1" x14ac:dyDescent="0.2">
      <c r="B26" s="1334" t="s">
        <v>2108</v>
      </c>
      <c r="C26" s="1338">
        <v>93.778000000000006</v>
      </c>
      <c r="D26" s="1339" t="s">
        <v>2115</v>
      </c>
      <c r="E26" s="1340">
        <v>65325</v>
      </c>
      <c r="F26" s="1340"/>
      <c r="G26" s="1340">
        <v>64346</v>
      </c>
      <c r="H26" s="1340"/>
      <c r="I26" s="1340"/>
      <c r="J26" s="1340"/>
      <c r="K26" s="1340"/>
      <c r="L26" s="1337">
        <f t="shared" si="0"/>
        <v>64346</v>
      </c>
      <c r="M26" s="1340">
        <v>210000</v>
      </c>
    </row>
    <row r="27" spans="2:14" ht="20.100000000000001" customHeight="1" x14ac:dyDescent="0.2">
      <c r="B27" s="1334" t="s">
        <v>2109</v>
      </c>
      <c r="C27" s="1338"/>
      <c r="D27" s="1339"/>
      <c r="E27" s="1340">
        <f>SUM(E25:E26)</f>
        <v>65325</v>
      </c>
      <c r="F27" s="1340">
        <f>SUM(F25:F26)</f>
        <v>63821</v>
      </c>
      <c r="G27" s="1340">
        <f>SUM(G25:G26)</f>
        <v>64346</v>
      </c>
      <c r="H27" s="1340"/>
      <c r="I27" s="1340">
        <f>SUM(I25:I26)</f>
        <v>64484</v>
      </c>
      <c r="J27" s="1340"/>
      <c r="K27" s="1340"/>
      <c r="L27" s="1337">
        <f t="shared" si="0"/>
        <v>128830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B1:N152"/>
  <sheetViews>
    <sheetView showGridLines="0" view="pageLayout" zoomScaleNormal="100" workbookViewId="0">
      <selection activeCell="F19" sqref="F1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9" t="str">
        <f>'Single Audit Cover'!A7</f>
        <v>Livingston Co Spec Services Unit</v>
      </c>
      <c r="C1" s="2432"/>
      <c r="D1" s="2432"/>
      <c r="E1" s="2432"/>
      <c r="F1" s="2432"/>
      <c r="G1" s="2432"/>
      <c r="H1" s="2432"/>
      <c r="I1" s="2432"/>
      <c r="J1" s="2432"/>
      <c r="K1" s="2432"/>
      <c r="L1" s="2432"/>
      <c r="M1" s="2432"/>
    </row>
    <row r="2" spans="2:14" ht="15" x14ac:dyDescent="0.2">
      <c r="B2" s="2433">
        <f>'Single Audit Cover'!E7</f>
        <v>17053000061</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1987</v>
      </c>
      <c r="K8" s="1316" t="s">
        <v>1261</v>
      </c>
      <c r="L8" s="1317" t="s">
        <v>1257</v>
      </c>
      <c r="M8" s="1318" t="s">
        <v>30</v>
      </c>
    </row>
    <row r="9" spans="2:14" ht="14.25" x14ac:dyDescent="0.2">
      <c r="B9" s="1322" t="s">
        <v>1259</v>
      </c>
      <c r="C9" s="1310" t="s">
        <v>1733</v>
      </c>
      <c r="D9" s="1311" t="s">
        <v>1734</v>
      </c>
      <c r="E9" s="1319" t="s">
        <v>1837</v>
      </c>
      <c r="F9" s="1320" t="s">
        <v>1987</v>
      </c>
      <c r="G9" s="1321" t="s">
        <v>1837</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2102</v>
      </c>
      <c r="C11" s="1335"/>
      <c r="D11" s="1336"/>
      <c r="E11" s="1337"/>
      <c r="F11" s="1337"/>
      <c r="G11" s="1337"/>
      <c r="H11" s="1337"/>
      <c r="I11" s="1337"/>
      <c r="J11" s="1337"/>
      <c r="K11" s="1337"/>
      <c r="L11" s="1337">
        <f>+G11+I11+K11</f>
        <v>0</v>
      </c>
      <c r="M11" s="1337"/>
    </row>
    <row r="12" spans="2:14" ht="20.100000000000001" customHeight="1" x14ac:dyDescent="0.2">
      <c r="B12" s="1334" t="s">
        <v>2103</v>
      </c>
      <c r="C12" s="1338"/>
      <c r="D12" s="1339"/>
      <c r="E12" s="1340"/>
      <c r="F12" s="1340"/>
      <c r="G12" s="1340"/>
      <c r="H12" s="1340"/>
      <c r="I12" s="1340"/>
      <c r="J12" s="1340"/>
      <c r="K12" s="1340"/>
      <c r="L12" s="1337">
        <f t="shared" ref="L12:L27" si="0">+G12+I12+K12</f>
        <v>0</v>
      </c>
      <c r="M12" s="1340"/>
    </row>
    <row r="13" spans="2:14" ht="20.100000000000001" customHeight="1" x14ac:dyDescent="0.2">
      <c r="B13" s="1334" t="s">
        <v>2116</v>
      </c>
      <c r="C13" s="1338">
        <v>84.173000000000002</v>
      </c>
      <c r="D13" s="1339" t="s">
        <v>2119</v>
      </c>
      <c r="E13" s="1340"/>
      <c r="F13" s="1340">
        <v>62410</v>
      </c>
      <c r="G13" s="1340"/>
      <c r="H13" s="1340"/>
      <c r="I13" s="1340">
        <v>67808</v>
      </c>
      <c r="J13" s="1340"/>
      <c r="K13" s="1340"/>
      <c r="L13" s="1337">
        <f t="shared" si="0"/>
        <v>67808</v>
      </c>
      <c r="M13" s="1340">
        <v>74462</v>
      </c>
    </row>
    <row r="14" spans="2:14" ht="20.100000000000001" customHeight="1" x14ac:dyDescent="0.2">
      <c r="B14" s="1334" t="s">
        <v>2116</v>
      </c>
      <c r="C14" s="1338">
        <v>84.173000000000002</v>
      </c>
      <c r="D14" s="1339" t="s">
        <v>2120</v>
      </c>
      <c r="E14" s="1340">
        <v>48964</v>
      </c>
      <c r="F14" s="1340">
        <v>5447</v>
      </c>
      <c r="G14" s="1340">
        <v>54411</v>
      </c>
      <c r="H14" s="1340"/>
      <c r="I14" s="1340"/>
      <c r="J14" s="1340"/>
      <c r="K14" s="1340"/>
      <c r="L14" s="1337">
        <f t="shared" si="0"/>
        <v>54411</v>
      </c>
      <c r="M14" s="1340">
        <v>58751</v>
      </c>
    </row>
    <row r="15" spans="2:14" ht="20.100000000000001" customHeight="1" x14ac:dyDescent="0.2">
      <c r="B15" s="1334" t="s">
        <v>2117</v>
      </c>
      <c r="C15" s="1338">
        <v>84.027000000000001</v>
      </c>
      <c r="D15" s="1339" t="s">
        <v>2121</v>
      </c>
      <c r="E15" s="1340"/>
      <c r="F15" s="1340">
        <v>1160913</v>
      </c>
      <c r="G15" s="1340"/>
      <c r="H15" s="1340"/>
      <c r="I15" s="1340">
        <v>1310628</v>
      </c>
      <c r="J15" s="1340">
        <v>280000</v>
      </c>
      <c r="K15" s="1340"/>
      <c r="L15" s="1337">
        <f t="shared" si="0"/>
        <v>1310628</v>
      </c>
      <c r="M15" s="1340">
        <v>1312891</v>
      </c>
    </row>
    <row r="16" spans="2:14" ht="20.100000000000001" customHeight="1" x14ac:dyDescent="0.2">
      <c r="B16" s="1334" t="s">
        <v>2117</v>
      </c>
      <c r="C16" s="1338">
        <v>84.027000000000001</v>
      </c>
      <c r="D16" s="1339" t="s">
        <v>2122</v>
      </c>
      <c r="E16" s="1340">
        <v>1101395</v>
      </c>
      <c r="F16" s="1340">
        <v>225438</v>
      </c>
      <c r="G16" s="1340">
        <v>1326833</v>
      </c>
      <c r="H16" s="1340">
        <v>280000</v>
      </c>
      <c r="I16" s="1340"/>
      <c r="J16" s="1340"/>
      <c r="K16" s="1340"/>
      <c r="L16" s="1337">
        <f t="shared" si="0"/>
        <v>1326833</v>
      </c>
      <c r="M16" s="1340">
        <v>1222347</v>
      </c>
    </row>
    <row r="17" spans="2:14" ht="20.100000000000001" customHeight="1" x14ac:dyDescent="0.2">
      <c r="B17" s="1334" t="s">
        <v>2104</v>
      </c>
      <c r="C17" s="1338"/>
      <c r="D17" s="1339"/>
      <c r="E17" s="1340">
        <f t="shared" ref="E17:J17" si="1">SUM(E13:E16)</f>
        <v>1150359</v>
      </c>
      <c r="F17" s="1340">
        <f t="shared" si="1"/>
        <v>1454208</v>
      </c>
      <c r="G17" s="1340">
        <f t="shared" si="1"/>
        <v>1381244</v>
      </c>
      <c r="H17" s="1340">
        <f t="shared" si="1"/>
        <v>280000</v>
      </c>
      <c r="I17" s="1340">
        <f t="shared" si="1"/>
        <v>1378436</v>
      </c>
      <c r="J17" s="1340">
        <f t="shared" si="1"/>
        <v>280000</v>
      </c>
      <c r="K17" s="1340"/>
      <c r="L17" s="1337">
        <f t="shared" si="0"/>
        <v>2759680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2118</v>
      </c>
      <c r="C19" s="1338"/>
      <c r="D19" s="1339"/>
      <c r="E19" s="1340">
        <f>E17+' SEFA'!E27+' SEFA'!E23+' SEFA'!E17</f>
        <v>1293153</v>
      </c>
      <c r="F19" s="1340">
        <f>F17+' SEFA'!F27+' SEFA'!F23+' SEFA'!F17</f>
        <v>1605444</v>
      </c>
      <c r="G19" s="1340">
        <f>G17+' SEFA'!G27+' SEFA'!G23+' SEFA'!G17</f>
        <v>1521882</v>
      </c>
      <c r="H19" s="1340">
        <f>H17+' SEFA'!H27+' SEFA'!H23+' SEFA'!H17</f>
        <v>280000</v>
      </c>
      <c r="I19" s="1340">
        <f>I17+' SEFA'!I27+' SEFA'!I23+' SEFA'!I17</f>
        <v>1491994</v>
      </c>
      <c r="J19" s="1340">
        <f>J17+' SEFA'!J27+' SEFA'!J23+' SEFA'!J17</f>
        <v>280000</v>
      </c>
      <c r="K19" s="1340"/>
      <c r="L19" s="1337">
        <f t="shared" si="0"/>
        <v>3013876</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G52"/>
  <sheetViews>
    <sheetView showGridLines="0" zoomScale="120" zoomScaleNormal="120" workbookViewId="0">
      <selection activeCell="A32" sqref="A32:F32"/>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7" t="str">
        <f>'Single Audit Cover'!A7</f>
        <v>Livingston Co Spec Services Unit</v>
      </c>
      <c r="B1" s="2437"/>
      <c r="C1" s="2437"/>
      <c r="D1" s="2437"/>
      <c r="E1" s="2437"/>
      <c r="F1" s="2437"/>
    </row>
    <row r="2" spans="1:7" ht="13.5" customHeight="1" x14ac:dyDescent="0.2">
      <c r="A2" s="2433">
        <f>'Single Audit Cover'!E7</f>
        <v>17053000061</v>
      </c>
      <c r="B2" s="2433"/>
      <c r="C2" s="2433"/>
      <c r="D2" s="2433"/>
      <c r="E2" s="2433"/>
      <c r="F2" s="2433"/>
      <c r="G2" s="1272"/>
    </row>
    <row r="3" spans="1:7" ht="15.75" customHeight="1" x14ac:dyDescent="0.2">
      <c r="A3" s="2438" t="s">
        <v>1271</v>
      </c>
      <c r="B3" s="2438"/>
      <c r="C3" s="2438"/>
      <c r="D3" s="2438"/>
      <c r="E3" s="2438"/>
      <c r="F3" s="2438"/>
    </row>
    <row r="4" spans="1:7" ht="13.5" customHeight="1" x14ac:dyDescent="0.2">
      <c r="A4" s="2439" t="str">
        <f>'Single Audit Cover'!A4</f>
        <v>Year Ending June 30, 2019</v>
      </c>
      <c r="B4" s="2439"/>
      <c r="C4" s="2439"/>
      <c r="D4" s="2439"/>
      <c r="E4" s="2439"/>
      <c r="F4" s="2439"/>
    </row>
    <row r="5" spans="1:7" ht="8.25" customHeight="1" x14ac:dyDescent="0.2">
      <c r="C5" s="317"/>
      <c r="D5" s="317"/>
    </row>
    <row r="6" spans="1:7" ht="13.5" customHeight="1" x14ac:dyDescent="0.2">
      <c r="A6" s="1273" t="s">
        <v>1728</v>
      </c>
      <c r="C6" s="317"/>
      <c r="D6" s="317"/>
    </row>
    <row r="7" spans="1:7" ht="60.95" customHeight="1" x14ac:dyDescent="0.2">
      <c r="A7" s="2436" t="s">
        <v>2146</v>
      </c>
      <c r="B7" s="2436"/>
      <c r="C7" s="2436"/>
      <c r="D7" s="2436"/>
      <c r="E7" s="2436"/>
      <c r="F7" s="2436"/>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2062</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6" t="s">
        <v>1730</v>
      </c>
      <c r="B13" s="2436"/>
      <c r="C13" s="2436"/>
      <c r="D13" s="2436"/>
      <c r="E13" s="2436"/>
      <c r="F13" s="2436"/>
    </row>
    <row r="14" spans="1:7" ht="9.75" customHeight="1" x14ac:dyDescent="0.2">
      <c r="C14" s="1257"/>
      <c r="D14" s="1257"/>
    </row>
    <row r="15" spans="1:7" ht="13.5" customHeight="1" x14ac:dyDescent="0.2">
      <c r="C15" s="1846" t="s">
        <v>1270</v>
      </c>
      <c r="D15" s="2441" t="s">
        <v>1269</v>
      </c>
      <c r="E15" s="2441"/>
      <c r="F15" s="2441"/>
    </row>
    <row r="16" spans="1:7" ht="13.5" customHeight="1" x14ac:dyDescent="0.2">
      <c r="A16" s="1279"/>
      <c r="B16" s="1273" t="s">
        <v>1268</v>
      </c>
      <c r="C16" s="1846" t="s">
        <v>1267</v>
      </c>
      <c r="D16" s="2442" t="s">
        <v>1588</v>
      </c>
      <c r="E16" s="2442"/>
      <c r="F16" s="2442"/>
    </row>
    <row r="17" spans="1:6" ht="20.45" customHeight="1" x14ac:dyDescent="0.2">
      <c r="A17" s="1280"/>
      <c r="B17" s="1281" t="s">
        <v>2123</v>
      </c>
      <c r="C17" s="1282" t="s">
        <v>2125</v>
      </c>
      <c r="D17" s="2440">
        <v>250000</v>
      </c>
      <c r="E17" s="2440"/>
      <c r="F17" s="2440"/>
    </row>
    <row r="18" spans="1:6" ht="20.65" customHeight="1" x14ac:dyDescent="0.2">
      <c r="A18" s="1280"/>
      <c r="B18" s="1281" t="s">
        <v>2124</v>
      </c>
      <c r="C18" s="1282" t="s">
        <v>2125</v>
      </c>
      <c r="D18" s="2440">
        <v>30000</v>
      </c>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4" t="s">
        <v>2147</v>
      </c>
      <c r="B32" s="2444"/>
      <c r="C32" s="2444"/>
      <c r="D32" s="2444"/>
      <c r="E32" s="2444"/>
      <c r="F32" s="2444"/>
    </row>
    <row r="33" spans="1:6" ht="13.5" customHeight="1" x14ac:dyDescent="0.2">
      <c r="A33" s="328" t="s">
        <v>1434</v>
      </c>
      <c r="B33" s="328"/>
      <c r="C33" s="1285">
        <v>0</v>
      </c>
      <c r="D33" s="1903"/>
      <c r="E33" s="1283"/>
    </row>
    <row r="34" spans="1:6" ht="13.5" customHeight="1" x14ac:dyDescent="0.2">
      <c r="A34" s="328" t="s">
        <v>1836</v>
      </c>
      <c r="B34" s="328"/>
      <c r="C34" s="1286">
        <v>0</v>
      </c>
      <c r="D34" s="1903" t="s">
        <v>1589</v>
      </c>
      <c r="E34" s="2445">
        <f>+C33+C34</f>
        <v>0</v>
      </c>
      <c r="F34" s="2446"/>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2126</v>
      </c>
      <c r="D38" s="1903"/>
      <c r="E38" s="1283"/>
    </row>
    <row r="39" spans="1:6" ht="14.25" customHeight="1" x14ac:dyDescent="0.2">
      <c r="A39" s="328"/>
      <c r="B39" s="328" t="s">
        <v>1436</v>
      </c>
      <c r="C39" s="1289" t="s">
        <v>2126</v>
      </c>
      <c r="D39" s="1903"/>
      <c r="E39" s="1283"/>
    </row>
    <row r="40" spans="1:6" ht="14.25" customHeight="1" x14ac:dyDescent="0.2">
      <c r="A40" s="328"/>
      <c r="B40" s="328" t="s">
        <v>1437</v>
      </c>
      <c r="C40" s="1289" t="s">
        <v>2126</v>
      </c>
      <c r="D40" s="1903"/>
      <c r="E40" s="1283"/>
    </row>
    <row r="41" spans="1:6" ht="14.25" customHeight="1" x14ac:dyDescent="0.2">
      <c r="A41" s="328"/>
      <c r="B41" s="328" t="s">
        <v>1438</v>
      </c>
      <c r="C41" s="1289" t="s">
        <v>2126</v>
      </c>
      <c r="D41" s="1903"/>
      <c r="E41" s="1283"/>
    </row>
    <row r="42" spans="1:6" ht="14.25" customHeight="1" x14ac:dyDescent="0.2">
      <c r="A42" s="328" t="s">
        <v>1439</v>
      </c>
      <c r="B42" s="328"/>
      <c r="C42" s="1901" t="s">
        <v>2127</v>
      </c>
      <c r="D42" s="1903"/>
      <c r="E42" s="1283"/>
    </row>
    <row r="43" spans="1:6" ht="14.25" customHeight="1" x14ac:dyDescent="0.2">
      <c r="A43" s="328" t="s">
        <v>1440</v>
      </c>
      <c r="B43" s="328"/>
      <c r="C43" s="1290" t="s">
        <v>2127</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7" t="s">
        <v>1590</v>
      </c>
      <c r="C49" s="2447"/>
      <c r="D49" s="2447"/>
      <c r="E49" s="1396"/>
    </row>
    <row r="50" spans="1:5" s="1297" customFormat="1" ht="3.75" customHeight="1" x14ac:dyDescent="0.2">
      <c r="A50" s="1296"/>
      <c r="B50" s="1845"/>
      <c r="C50" s="1845"/>
      <c r="D50" s="1845"/>
      <c r="E50" s="1396"/>
    </row>
    <row r="51" spans="1:5" s="1297" customFormat="1" ht="20.25" customHeight="1" x14ac:dyDescent="0.2">
      <c r="A51" s="1298">
        <v>6</v>
      </c>
      <c r="B51" s="2443" t="s">
        <v>1551</v>
      </c>
      <c r="C51" s="2443"/>
      <c r="D51" s="2443"/>
    </row>
    <row r="52" spans="1:5" ht="14.25" customHeight="1" x14ac:dyDescent="0.2">
      <c r="A52" s="1298"/>
      <c r="B52" s="2443"/>
      <c r="C52" s="2443"/>
      <c r="D52" s="244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J63"/>
  <sheetViews>
    <sheetView showGridLines="0" zoomScale="110" zoomScaleNormal="110" workbookViewId="0">
      <selection activeCell="E27" sqref="E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2" t="str">
        <f>'Single Audit Cover'!A7</f>
        <v>Livingston Co Spec Services Unit</v>
      </c>
      <c r="C1" s="2453"/>
      <c r="D1" s="2453"/>
      <c r="E1" s="2453"/>
      <c r="F1" s="2453"/>
      <c r="G1" s="2453"/>
      <c r="H1" s="2453"/>
      <c r="I1" s="2453"/>
      <c r="J1" s="1406"/>
    </row>
    <row r="2" spans="2:10" s="317" customFormat="1" ht="12.75" customHeight="1" x14ac:dyDescent="0.2">
      <c r="B2" s="2454">
        <f>'Single Audit Cover'!E7</f>
        <v>17053000061</v>
      </c>
      <c r="C2" s="2455"/>
      <c r="D2" s="2455"/>
      <c r="E2" s="2455"/>
      <c r="F2" s="2455"/>
      <c r="G2" s="2455"/>
      <c r="H2" s="2455"/>
      <c r="I2" s="2455"/>
      <c r="J2" s="1406"/>
    </row>
    <row r="3" spans="2:10" s="317" customFormat="1" ht="12.75" customHeight="1" x14ac:dyDescent="0.2">
      <c r="B3" s="2456" t="s">
        <v>1285</v>
      </c>
      <c r="C3" s="2457"/>
      <c r="D3" s="2457"/>
      <c r="E3" s="2457"/>
      <c r="F3" s="2457"/>
      <c r="G3" s="2457"/>
      <c r="H3" s="2457"/>
      <c r="I3" s="2457"/>
      <c r="J3" s="1407"/>
    </row>
    <row r="4" spans="2:10" s="317" customFormat="1" ht="12.75" customHeight="1" x14ac:dyDescent="0.2">
      <c r="B4" s="2456" t="str">
        <f>'Single Audit Cover'!A4</f>
        <v>Year Ending June 30, 2019</v>
      </c>
      <c r="C4" s="2457"/>
      <c r="D4" s="2457"/>
      <c r="E4" s="2457"/>
      <c r="F4" s="2457"/>
      <c r="G4" s="2457"/>
      <c r="H4" s="2457"/>
      <c r="I4" s="245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6" t="s">
        <v>1284</v>
      </c>
      <c r="C7" s="2457"/>
      <c r="D7" s="2457"/>
      <c r="E7" s="2457"/>
      <c r="F7" s="2457"/>
      <c r="G7" s="2457"/>
      <c r="H7" s="2457"/>
      <c r="I7" s="245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8" t="s">
        <v>820</v>
      </c>
      <c r="D11" s="245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2062</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t="s">
        <v>2062</v>
      </c>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2062</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2062</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t="s">
        <v>2062</v>
      </c>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9" t="s">
        <v>2128</v>
      </c>
      <c r="E29" s="2459"/>
      <c r="F29" s="2459"/>
      <c r="G29" s="2459"/>
      <c r="H29" s="2459"/>
      <c r="I29" s="2459"/>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2062</v>
      </c>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60" t="s">
        <v>1749</v>
      </c>
      <c r="D37" s="2461"/>
      <c r="E37" s="2461"/>
      <c r="F37" s="2462"/>
      <c r="G37" s="2460" t="s">
        <v>1592</v>
      </c>
      <c r="H37" s="2461"/>
      <c r="I37" s="2462"/>
    </row>
    <row r="38" spans="2:9" ht="16.5" customHeight="1" x14ac:dyDescent="0.2">
      <c r="B38" s="1428">
        <v>84.173000000000002</v>
      </c>
      <c r="C38" s="2448" t="s">
        <v>2129</v>
      </c>
      <c r="D38" s="2449"/>
      <c r="E38" s="2449"/>
      <c r="F38" s="2450"/>
      <c r="G38" s="2463">
        <v>67808</v>
      </c>
      <c r="H38" s="2464"/>
      <c r="I38" s="2465"/>
    </row>
    <row r="39" spans="2:9" ht="16.5" customHeight="1" x14ac:dyDescent="0.2">
      <c r="B39" s="1428">
        <v>84.027000000000001</v>
      </c>
      <c r="C39" s="2448" t="s">
        <v>2130</v>
      </c>
      <c r="D39" s="2449"/>
      <c r="E39" s="2449"/>
      <c r="F39" s="2450"/>
      <c r="G39" s="2451">
        <v>1310628</v>
      </c>
      <c r="H39" s="2451"/>
      <c r="I39" s="2451"/>
    </row>
    <row r="40" spans="2:9" ht="16.5" customHeight="1" x14ac:dyDescent="0.2">
      <c r="B40" s="1428"/>
      <c r="C40" s="2448"/>
      <c r="D40" s="2449"/>
      <c r="E40" s="2449"/>
      <c r="F40" s="2450"/>
      <c r="G40" s="2451"/>
      <c r="H40" s="2451"/>
      <c r="I40" s="2451"/>
    </row>
    <row r="41" spans="2:9" ht="16.5" customHeight="1" x14ac:dyDescent="0.2">
      <c r="B41" s="1428"/>
      <c r="C41" s="2448"/>
      <c r="D41" s="2449"/>
      <c r="E41" s="2449"/>
      <c r="F41" s="2450"/>
      <c r="G41" s="2451"/>
      <c r="H41" s="2451"/>
      <c r="I41" s="2451"/>
    </row>
    <row r="42" spans="2:9" ht="16.5" customHeight="1" x14ac:dyDescent="0.2">
      <c r="B42" s="1428"/>
      <c r="C42" s="2448"/>
      <c r="D42" s="2449"/>
      <c r="E42" s="2449"/>
      <c r="F42" s="2450"/>
      <c r="G42" s="2451"/>
      <c r="H42" s="2451"/>
      <c r="I42" s="2451"/>
    </row>
    <row r="43" spans="2:9" ht="16.5" customHeight="1" x14ac:dyDescent="0.2">
      <c r="B43" s="1428"/>
      <c r="C43" s="2466" t="s">
        <v>1593</v>
      </c>
      <c r="D43" s="2467"/>
      <c r="E43" s="2467"/>
      <c r="F43" s="2468"/>
      <c r="G43" s="2469">
        <f>SUM(G38:I42)</f>
        <v>1378436</v>
      </c>
      <c r="H43" s="2469"/>
      <c r="I43" s="2469"/>
    </row>
    <row r="44" spans="2:9" ht="12.75" customHeight="1" x14ac:dyDescent="0.2"/>
    <row r="45" spans="2:9" ht="12.75" customHeight="1" x14ac:dyDescent="0.2">
      <c r="B45" s="1419" t="s">
        <v>2061</v>
      </c>
      <c r="D45" s="2470">
        <v>1491856</v>
      </c>
      <c r="E45" s="2471"/>
    </row>
    <row r="46" spans="2:9" ht="5.25" customHeight="1" x14ac:dyDescent="0.2">
      <c r="B46" s="1429"/>
      <c r="D46" s="1430"/>
      <c r="E46" s="1431"/>
    </row>
    <row r="47" spans="2:9" ht="12.75" customHeight="1" x14ac:dyDescent="0.2">
      <c r="B47" s="1297" t="s">
        <v>1594</v>
      </c>
      <c r="C47" s="1297"/>
      <c r="D47" s="1432">
        <f>+G43/D45</f>
        <v>0.92397389560386523</v>
      </c>
      <c r="E47" s="1433"/>
      <c r="F47" s="1434"/>
      <c r="I47" s="1435"/>
    </row>
    <row r="48" spans="2:9" ht="9.9499999999999993" customHeight="1" x14ac:dyDescent="0.2"/>
    <row r="49" spans="1:9" x14ac:dyDescent="0.2">
      <c r="B49" s="1365" t="s">
        <v>1273</v>
      </c>
      <c r="C49" s="1279"/>
      <c r="D49" s="1279"/>
      <c r="E49" s="2472">
        <v>750000</v>
      </c>
      <c r="F49" s="2472"/>
      <c r="G49" s="2472"/>
      <c r="H49" s="322"/>
    </row>
    <row r="51" spans="1:9" ht="13.5" customHeight="1" x14ac:dyDescent="0.2">
      <c r="B51" s="1365" t="s">
        <v>1272</v>
      </c>
      <c r="C51" s="1279"/>
      <c r="E51" s="1422"/>
      <c r="F51" s="1297" t="s">
        <v>885</v>
      </c>
      <c r="G51" s="1422" t="s">
        <v>2062</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M41"/>
  <sheetViews>
    <sheetView showGridLines="0" topLeftCell="A22" zoomScale="110" zoomScaleNormal="110" workbookViewId="0">
      <selection activeCell="O14" sqref="O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2" t="str">
        <f>'Single Audit Cover'!A7</f>
        <v>Livingston Co Spec Services Unit</v>
      </c>
      <c r="C1" s="2452"/>
      <c r="D1" s="2452"/>
      <c r="E1" s="2452"/>
      <c r="F1" s="2452"/>
      <c r="G1" s="2452"/>
      <c r="H1" s="2452"/>
      <c r="I1" s="2452"/>
      <c r="J1" s="2452"/>
      <c r="K1" s="2452"/>
      <c r="L1" s="1371"/>
      <c r="M1" s="1371"/>
    </row>
    <row r="2" spans="1:13" ht="12" customHeight="1" x14ac:dyDescent="0.2">
      <c r="B2" s="2454">
        <f>'Single Audit Cover'!E7</f>
        <v>17053000061</v>
      </c>
      <c r="C2" s="2454"/>
      <c r="D2" s="2454"/>
      <c r="E2" s="2454"/>
      <c r="F2" s="2454"/>
      <c r="G2" s="2454"/>
      <c r="H2" s="2454"/>
      <c r="I2" s="2454"/>
      <c r="J2" s="2454"/>
      <c r="K2" s="2454"/>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1988</v>
      </c>
      <c r="D10" s="1383">
        <v>1</v>
      </c>
      <c r="E10" s="322"/>
      <c r="F10" s="1384" t="s">
        <v>1295</v>
      </c>
      <c r="G10" s="1385"/>
      <c r="H10" s="1386" t="s">
        <v>1294</v>
      </c>
      <c r="I10" s="1385" t="s">
        <v>2062</v>
      </c>
      <c r="J10" s="1387" t="s">
        <v>1293</v>
      </c>
      <c r="K10" s="322"/>
      <c r="L10" s="1378"/>
    </row>
    <row r="11" spans="1:13" ht="13.5" customHeight="1" x14ac:dyDescent="0.2">
      <c r="B11" s="322"/>
      <c r="C11" s="322"/>
      <c r="D11" s="322"/>
      <c r="E11" s="322"/>
      <c r="F11" s="322"/>
      <c r="G11" s="1380"/>
      <c r="H11" s="322"/>
      <c r="I11" s="1388" t="s">
        <v>1292</v>
      </c>
      <c r="J11" s="322"/>
      <c r="K11" s="1389">
        <v>2011</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t="s">
        <v>2086</v>
      </c>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t="s">
        <v>2087</v>
      </c>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78" t="s">
        <v>2088</v>
      </c>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t="s">
        <v>2089</v>
      </c>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t="s">
        <v>2090</v>
      </c>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3" t="s">
        <v>2091</v>
      </c>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3" t="s">
        <v>2092</v>
      </c>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1839</v>
      </c>
      <c r="C36" s="1297"/>
      <c r="L36" s="1378"/>
    </row>
    <row r="37" spans="1:13" ht="9.6" customHeight="1" x14ac:dyDescent="0.2">
      <c r="B37" s="1297" t="s">
        <v>1840</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L48"/>
  <sheetViews>
    <sheetView showGridLines="0" topLeftCell="A34" zoomScale="110" zoomScaleNormal="110" workbookViewId="0">
      <selection activeCell="B39" sqref="B3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9" t="str">
        <f>'Single Audit Cover'!A7</f>
        <v>Livingston Co Spec Services Unit</v>
      </c>
      <c r="C1" s="2479"/>
      <c r="D1" s="2479"/>
      <c r="E1" s="2479"/>
      <c r="F1" s="2479"/>
      <c r="G1" s="2479"/>
      <c r="H1" s="2479"/>
      <c r="I1" s="2479"/>
      <c r="J1" s="2479"/>
      <c r="K1" s="2479"/>
      <c r="L1" s="1449"/>
    </row>
    <row r="2" spans="1:12" ht="12.75" customHeight="1" x14ac:dyDescent="0.2">
      <c r="B2" s="2480">
        <f>'Single Audit Cover'!E7</f>
        <v>17053000061</v>
      </c>
      <c r="C2" s="2480"/>
      <c r="D2" s="2480"/>
      <c r="E2" s="2480"/>
      <c r="F2" s="2480"/>
      <c r="G2" s="2480"/>
      <c r="H2" s="2480"/>
      <c r="I2" s="2480"/>
      <c r="J2" s="2480"/>
      <c r="K2" s="2480"/>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1" t="s">
        <v>1308</v>
      </c>
      <c r="C6" s="2481"/>
      <c r="D6" s="2481"/>
      <c r="E6" s="2481"/>
      <c r="F6" s="2481"/>
      <c r="G6" s="2481"/>
      <c r="H6" s="2481"/>
      <c r="I6" s="2481"/>
      <c r="J6" s="2481"/>
      <c r="K6" s="2481"/>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1988</v>
      </c>
      <c r="D8" s="1452">
        <v>2</v>
      </c>
      <c r="E8" s="322"/>
      <c r="F8" s="1381" t="s">
        <v>1295</v>
      </c>
      <c r="G8" s="1453" t="s">
        <v>2062</v>
      </c>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9" t="s">
        <v>2145</v>
      </c>
      <c r="G12" s="2459"/>
      <c r="H12" s="2459"/>
      <c r="I12" s="2459"/>
      <c r="J12" s="2459"/>
      <c r="K12" s="245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t="s">
        <v>2135</v>
      </c>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t="s">
        <v>2136</v>
      </c>
      <c r="E16" s="2483"/>
      <c r="F16" s="2483"/>
      <c r="G16" s="2483"/>
      <c r="H16" s="2483"/>
      <c r="I16" s="2483"/>
      <c r="J16" s="2483"/>
      <c r="K16" s="2483"/>
      <c r="L16" s="322"/>
    </row>
    <row r="17" spans="2:12" ht="13.5" customHeight="1" x14ac:dyDescent="0.2">
      <c r="B17" s="1384" t="s">
        <v>1301</v>
      </c>
      <c r="C17" s="1384"/>
      <c r="D17" s="2484" t="s">
        <v>2137</v>
      </c>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t="s">
        <v>2131</v>
      </c>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74" t="s">
        <v>2134</v>
      </c>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78">
        <v>2099.9899999999998</v>
      </c>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74" t="s">
        <v>2088</v>
      </c>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t="s">
        <v>2132</v>
      </c>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t="s">
        <v>2133</v>
      </c>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t="s">
        <v>2150</v>
      </c>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74" t="s">
        <v>2148</v>
      </c>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B1:E73"/>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2" t="str">
        <f>'Single Audit Cover'!A7</f>
        <v>Livingston Co Spec Services Unit</v>
      </c>
      <c r="C1" s="2452"/>
      <c r="D1" s="2452"/>
      <c r="E1" s="1469"/>
    </row>
    <row r="2" spans="2:5" s="1279" customFormat="1" ht="12.75" customHeight="1" x14ac:dyDescent="0.2">
      <c r="B2" s="2454">
        <f>'Single Audit Cover'!E7</f>
        <v>17053000061</v>
      </c>
      <c r="C2" s="2454"/>
      <c r="D2" s="2454"/>
      <c r="E2" s="1470"/>
    </row>
    <row r="3" spans="2:5" ht="12.75" customHeight="1" x14ac:dyDescent="0.2">
      <c r="B3" s="2475" t="s">
        <v>1764</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1765</v>
      </c>
      <c r="C5" s="328"/>
      <c r="D5" s="328"/>
      <c r="E5" s="328"/>
    </row>
    <row r="6" spans="2:5" s="1279" customFormat="1" ht="13.5" customHeight="1" x14ac:dyDescent="0.2">
      <c r="B6" s="1473" t="s">
        <v>1315</v>
      </c>
      <c r="C6" s="1473" t="s">
        <v>1314</v>
      </c>
      <c r="D6" s="1473" t="s">
        <v>1766</v>
      </c>
    </row>
    <row r="7" spans="2:5" ht="13.5" customHeight="1" x14ac:dyDescent="0.2">
      <c r="B7" s="1474" t="s">
        <v>2093</v>
      </c>
      <c r="C7" s="324" t="s">
        <v>2094</v>
      </c>
      <c r="D7" s="324" t="s">
        <v>2095</v>
      </c>
      <c r="E7" s="324"/>
    </row>
    <row r="8" spans="2:5" ht="13.5" customHeight="1" x14ac:dyDescent="0.2">
      <c r="B8" s="1474" t="s">
        <v>2096</v>
      </c>
      <c r="C8" s="324" t="s">
        <v>2097</v>
      </c>
      <c r="D8" s="324" t="s">
        <v>2098</v>
      </c>
      <c r="E8" s="324"/>
    </row>
    <row r="9" spans="2:5" ht="13.5" customHeight="1" x14ac:dyDescent="0.2">
      <c r="B9" s="1475" t="s">
        <v>2099</v>
      </c>
      <c r="C9" s="323" t="s">
        <v>2100</v>
      </c>
      <c r="D9" s="323" t="s">
        <v>2098</v>
      </c>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1767</v>
      </c>
    </row>
    <row r="46" spans="2:5" ht="12.2" customHeight="1" x14ac:dyDescent="0.2">
      <c r="B46" s="1483" t="s">
        <v>1768</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2B63ED9E-A0F3-4F9F-B177-8E22F1C8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sharepoint/v3"/>
    <ds:schemaRef ds:uri="http://purl.org/dc/terms/"/>
    <ds:schemaRef ds:uri="d21dc803-237d-4c68-8692-8d731fd29118"/>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4d435f69-8686-490b-bd6d-b153bf22ab50"/>
    <ds:schemaRef ds:uri="6ce3111e-7420-4802-b50a-75d4e9a0b980"/>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(v3).xlsm</dc:title>
  <dc:creator>HEMBERGER DEBRA</dc:creator>
  <cp:lastModifiedBy>BAXTER CHRISTOPHER</cp:lastModifiedBy>
  <cp:lastPrinted>2019-11-15T15:25:19Z</cp:lastPrinted>
  <dcterms:created xsi:type="dcterms:W3CDTF">2003-10-29T19:06:34Z</dcterms:created>
  <dcterms:modified xsi:type="dcterms:W3CDTF">2020-01-15T15:35:40Z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