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F0BD84A8-EA3F-4616-8F6A-7E13FFCE3281}"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3" i="29" l="1"/>
  <c r="D55" i="29" l="1"/>
  <c r="G13" i="29"/>
  <c r="F14" i="29"/>
  <c r="C10" i="29"/>
  <c r="E14" i="29"/>
  <c r="F61" i="29"/>
  <c r="F50" i="29"/>
  <c r="E50" i="29"/>
  <c r="C50" i="29"/>
  <c r="D10" i="29"/>
  <c r="C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E27" i="108"/>
  <c r="G27" i="108"/>
  <c r="F31" i="108"/>
  <c r="F36" i="108"/>
  <c r="G28" i="108"/>
  <c r="D36" i="108"/>
  <c r="E31" i="108"/>
  <c r="G31" i="108"/>
  <c r="E33"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C352" i="29" l="1"/>
  <c r="K76" i="4"/>
  <c r="B3586" i="106" s="1"/>
  <c r="D3586" i="106" s="1"/>
  <c r="F68" i="34"/>
  <c r="F36" i="34"/>
  <c r="F37" i="34"/>
  <c r="F77" i="4"/>
  <c r="B3255" i="106" s="1"/>
  <c r="D3255" i="106" s="1"/>
  <c r="J129" i="29"/>
  <c r="B7038" i="106" s="1"/>
  <c r="D7038" i="106" s="1"/>
  <c r="B3647" i="106"/>
  <c r="D3647" i="106" s="1"/>
  <c r="B6289" i="106"/>
  <c r="D6289" i="106" s="1"/>
  <c r="E34" i="108"/>
  <c r="G30" i="108"/>
  <c r="I129" i="29"/>
  <c r="B7037" i="106" s="1"/>
  <c r="D7037" i="106" s="1"/>
  <c r="H112" i="29"/>
  <c r="B7018" i="106" s="1"/>
  <c r="D7018" i="106" s="1"/>
  <c r="F34" i="34"/>
  <c r="C342" i="29"/>
  <c r="B7216" i="106" s="1"/>
  <c r="D7216" i="106" s="1"/>
  <c r="H342" i="29"/>
  <c r="B7221" i="106" s="1"/>
  <c r="D7221" i="106" s="1"/>
  <c r="B7074" i="106"/>
  <c r="D7074" i="106" s="1"/>
  <c r="H33" i="118"/>
  <c r="J210" i="29"/>
  <c r="B7072" i="106" s="1"/>
  <c r="D7072" i="106" s="1"/>
  <c r="J41" i="3"/>
  <c r="D54" i="36"/>
  <c r="F72" i="34"/>
  <c r="E38" i="108"/>
  <c r="G26" i="108"/>
  <c r="D68" i="36"/>
  <c r="H76" i="4"/>
  <c r="B3298" i="106" s="1"/>
  <c r="D3298" i="106" s="1"/>
  <c r="B1124" i="106"/>
  <c r="D1124" i="106" s="1"/>
  <c r="J22" i="37"/>
  <c r="G14" i="4"/>
  <c r="B2609" i="106" s="1"/>
  <c r="D2609" i="106" s="1"/>
  <c r="F19" i="7"/>
  <c r="B1807" i="106" s="1"/>
  <c r="D1807" i="106" s="1"/>
  <c r="F71" i="34"/>
  <c r="E35" i="108"/>
  <c r="G29" i="108"/>
  <c r="B6995" i="106"/>
  <c r="D6995" i="106" s="1"/>
  <c r="B1274" i="106"/>
  <c r="D1274" i="106" s="1"/>
  <c r="L13" i="11"/>
  <c r="B2060" i="106" s="1"/>
  <c r="D2060" i="106" s="1"/>
  <c r="F28" i="108"/>
  <c r="F27" i="108"/>
  <c r="G15" i="145"/>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J151" i="29" l="1"/>
  <c r="B7052" i="106" s="1"/>
  <c r="D7052" i="106" s="1"/>
  <c r="I7" i="4"/>
  <c r="B4444" i="106" s="1"/>
  <c r="D4444" i="106" s="1"/>
  <c r="D7250" i="106"/>
  <c r="D7254" i="106"/>
  <c r="B1225" i="106"/>
  <c r="D1225" i="106" s="1"/>
  <c r="B7215" i="106"/>
  <c r="D7215" i="106" s="1"/>
  <c r="H151" i="29"/>
  <c r="B1273" i="106" s="1"/>
  <c r="D1273" i="106" s="1"/>
  <c r="D7256" i="106"/>
  <c r="D7251" i="106"/>
  <c r="F41" i="108"/>
  <c r="G43" i="108" s="1"/>
  <c r="B1328" i="106"/>
  <c r="D1328" i="106" s="1"/>
  <c r="B1381" i="106"/>
  <c r="D1381" i="106" s="1"/>
  <c r="B5527" i="106"/>
  <c r="D5527" i="106" s="1"/>
  <c r="D44" i="36"/>
  <c r="K365" i="29"/>
  <c r="K16" i="4" s="1"/>
  <c r="L114" i="29"/>
  <c r="F66" i="34"/>
  <c r="B7235" i="106"/>
  <c r="D7235" i="106" s="1"/>
  <c r="L16" i="11"/>
  <c r="B2061" i="106" s="1"/>
  <c r="D2061" i="106" s="1"/>
  <c r="D41" i="108"/>
  <c r="E43" i="108"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43" i="106" l="1"/>
  <c r="D7243" i="106" s="1"/>
  <c r="K367" i="29"/>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F8" i="4"/>
  <c r="F10" i="4" s="1"/>
  <c r="B4125" i="106" s="1"/>
  <c r="D4125" i="106" s="1"/>
  <c r="J20" i="4"/>
  <c r="B6230" i="106" s="1"/>
  <c r="D6230"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<sst xmlns="http://schemas.openxmlformats.org/spreadsheetml/2006/main" count="5073" uniqueCount="2103">
  <si>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</si>
  <si>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</si>
  <si>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</si>
  <si>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</si>
  <si>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</si>
  <si>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</si>
  <si>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</si>
  <si>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</si>
  <si>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</si>
  <si>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</si>
  <si>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</si>
  <si>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</si>
  <si>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</si>
  <si>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</si>
  <si>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</si>
  <si>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</si>
  <si>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</si>
  <si>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</si>
  <si>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</si>
  <si>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</si>
  <si>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</si>
  <si>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</si>
  <si>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</si>
  <si>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</si>
  <si>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</si>
  <si>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</si>
  <si>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</si>
  <si>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</si>
  <si>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</si>
  <si>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</si>
  <si>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</si>
  <si>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</si>
  <si>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</si>
  <si>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</si>
  <si>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</si>
  <si>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</si>
  <si>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</si>
  <si>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</si>
  <si>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</si>
  <si>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</si>
  <si>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</si>
  <si>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</si>
  <si>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</si>
  <si>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</si>
  <si>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</si>
  <si>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</si>
  <si>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</si>
  <si>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</si>
  <si>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</si>
  <si>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</si>
  <si>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</si>
  <si>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</si>
  <si>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</si>
  <si>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</si>
  <si>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</si>
  <si>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</si>
  <si>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</si>
  <si>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</si>
  <si>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</si>
  <si>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</si>
  <si>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</si>
  <si>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</si>
  <si>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</si>
  <si>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</si>
  <si>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</si>
  <si>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</si>
  <si>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</si>
  <si>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</si>
  <si>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</si>
  <si>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</si>
  <si>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</si>
  <si>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</si>
  <si>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</si>
  <si>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</si>
  <si>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</si>
  <si>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</si>
  <si>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</si>
  <si>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</si>
  <si>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</si>
  <si>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</si>
  <si>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</si>
  <si>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</si>
  <si>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</si>
  <si>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</si>
  <si>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</si>
  <si>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</si>
  <si>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</si>
  <si>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</si>
  <si>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</si>
  <si>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</si>
  <si>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</si>
  <si>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</si>
  <si>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</si>
  <si>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</si>
  <si>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</si>
  <si>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</si>
  <si>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</si>
  <si>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</si>
  <si>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</si>
  <si>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</si>
  <si>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</si>
  <si>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</si>
  <si>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</si>
  <si>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</si>
  <si>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</si>
  <si>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</si>
  <si>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</si>
  <si>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</si>
  <si>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</si>
  <si>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</si>
  <si>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</si>
  <si>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</si>
  <si>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</si>
  <si>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</si>
  <si>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</si>
  <si>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</si>
  <si>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</si>
  <si>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</si>
  <si>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</si>
  <si>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</si>
  <si>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</si>
  <si>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</si>
  <si>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</si>
  <si>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</si>
  <si>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</si>
  <si>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</si>
  <si>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</si>
  <si>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</si>
  <si>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</si>
  <si>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</si>
  <si>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</si>
  <si>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</si>
  <si>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</si>
  <si>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</si>
  <si>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</si>
  <si>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</si>
  <si>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</si>
  <si>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</si>
  <si>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</si>
  <si>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</si>
  <si>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</si>
  <si>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</si>
  <si>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</si>
  <si>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</si>
  <si>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</si>
  <si>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</si>
  <si>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</si>
  <si>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</si>
  <si>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</si>
  <si>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</si>
  <si>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</si>
  <si>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</si>
  <si>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</si>
  <si>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</si>
  <si>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</si>
  <si>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</si>
  <si>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</si>
  <si>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</si>
  <si>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</si>
  <si>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</si>
  <si>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</si>
  <si>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</si>
  <si>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</si>
  <si>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</si>
  <si>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</si>
  <si>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</si>
  <si>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</si>
  <si>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</si>
  <si>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</si>
  <si>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</si>
  <si>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</si>
  <si>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</si>
  <si>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</si>
  <si>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</si>
  <si>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</si>
  <si>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</si>
  <si>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</si>
  <si>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</si>
  <si>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</si>
  <si>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</si>
  <si>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</si>
  <si>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</si>
  <si>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</si>
  <si>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</si>
  <si>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</si>
  <si>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</si>
  <si>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</si>
  <si>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</si>
  <si>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</si>
  <si>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</si>
  <si>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</si>
  <si>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</si>
  <si>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</si>
  <si>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</si>
  <si>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</si>
  <si>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</si>
  <si>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</si>
  <si>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</si>
  <si>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</si>
  <si>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</si>
  <si>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</si>
  <si>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</si>
  <si>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</si>
  <si>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</si>
  <si>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</si>
  <si>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</si>
  <si>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</si>
  <si>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</si>
  <si>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</si>
  <si>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</si>
  <si>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</si>
  <si>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</si>
  <si>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</si>
  <si>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</si>
  <si>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</si>
  <si>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</si>
  <si>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</si>
  <si>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</si>
  <si>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</si>
  <si>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</si>
  <si>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</si>
  <si>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</si>
  <si>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</si>
  <si>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</si>
  <si>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</si>
  <si>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</si>
  <si>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</si>
  <si>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</si>
  <si>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</si>
  <si>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</si>
  <si>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</si>
  <si>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</si>
  <si>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</si>
  <si>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</si>
  <si>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</si>
  <si>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</si>
  <si>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</si>
  <si>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</si>
  <si>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</si>
  <si>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</si>
  <si>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</si>
  <si>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</si>
  <si>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</si>
  <si>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</si>
  <si>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</si>
  <si>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</si>
  <si>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</si>
  <si>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</si>
  <si>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</si>
  <si>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</si>
  <si>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</si>
  <si>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</si>
  <si>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</si>
  <si>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</si>
  <si>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</si>
  <si>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</si>
  <si>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</si>
  <si>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</si>
  <si>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</si>
  <si>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</si>
  <si>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</si>
  <si>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</si>
  <si>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</si>
  <si>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</si>
  <si>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</si>
  <si>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</si>
  <si>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</si>
  <si>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</si>
  <si>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</si>
  <si>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</si>
  <si>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</si>
  <si>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</si>
  <si>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</si>
  <si>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</si>
  <si>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</si>
  <si>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</si>
  <si>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</si>
  <si>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</si>
  <si>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</si>
  <si>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</si>
  <si>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</si>
  <si>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</si>
  <si>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</si>
  <si>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</si>
  <si>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</si>
  <si>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</si>
  <si>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</si>
  <si>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</si>
  <si>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</si>
  <si>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</si>
  <si>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</si>
  <si>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</si>
  <si>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</si>
  <si>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</si>
  <si>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</si>
  <si>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</si>
  <si>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</si>
  <si>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</si>
  <si>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</si>
  <si>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</si>
  <si>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</si>
  <si>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</si>
  <si>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</si>
  <si>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</si>
  <si>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</si>
  <si>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</si>
  <si>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</si>
  <si>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</si>
  <si>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</si>
  <si>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</si>
  <si>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</si>
  <si>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</si>
  <si>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</si>
  <si>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</si>
  <si>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</si>
  <si>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</si>
  <si>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</si>
  <si>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</si>
  <si>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</si>
  <si>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</si>
  <si>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</si>
  <si>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</si>
  <si>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</si>
  <si>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</si>
  <si>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</si>
  <si>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</si>
  <si>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</si>
  <si>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</si>
  <si>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</si>
  <si>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</si>
  <si>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</si>
  <si>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</si>
  <si>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</si>
  <si>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</si>
  <si>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</si>
  <si>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</si>
  <si>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</si>
  <si>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</si>
  <si>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</si>
  <si>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</si>
  <si>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</si>
  <si>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</si>
  <si>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</si>
  <si>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</si>
  <si>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</si>
  <si>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</si>
  <si>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</si>
  <si>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</si>
  <si>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</si>
  <si>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</si>
  <si>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</si>
  <si>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</si>
  <si>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</si>
  <si>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</si>
  <si>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</si>
  <si>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</si>
  <si>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</si>
  <si>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</si>
  <si>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</si>
  <si>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</si>
  <si>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</si>
  <si>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</si>
  <si>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</si>
  <si>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</si>
  <si>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</si>
  <si>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</si>
  <si>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</si>
  <si>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</si>
  <si>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</si>
  <si>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</si>
  <si>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</si>
  <si>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</si>
  <si>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</si>
  <si>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</si>
  <si>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</si>
  <si>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</si>
  <si>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</si>
  <si>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</si>
  <si>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</si>
  <si>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</si>
  <si>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</si>
  <si>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</si>
  <si>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</si>
  <si>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</si>
  <si>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</si>
  <si>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</si>
  <si>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</si>
  <si>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</si>
  <si>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</si>
  <si>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</si>
  <si>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</si>
  <si>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</si>
  <si>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</si>
  <si>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</si>
  <si>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</si>
  <si>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</si>
  <si>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</si>
  <si>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</si>
  <si>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</si>
  <si>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</si>
  <si>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</si>
  <si>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</si>
  <si>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</si>
  <si>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</si>
  <si>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</si>
  <si>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</si>
  <si>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</si>
  <si>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</si>
  <si>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</si>
  <si>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</si>
  <si>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</si>
  <si>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</si>
  <si>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</si>
  <si>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</si>
  <si>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</si>
  <si>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</si>
  <si>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</si>
  <si>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</si>
  <si>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</si>
  <si>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</si>
  <si>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</si>
  <si>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</si>
  <si>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</si>
  <si>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</si>
  <si>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</si>
  <si>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</si>
  <si>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</si>
  <si>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</si>
  <si>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</si>
  <si>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</si>
  <si>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</si>
  <si>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</si>
  <si>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</si>
  <si>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</si>
  <si>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</si>
  <si>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</si>
  <si>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</si>
  <si>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</si>
  <si>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</si>
  <si>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</si>
  <si>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</si>
  <si>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</si>
  <si>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</si>
  <si>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</si>
  <si>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</si>
  <si>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</si>
  <si>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</si>
  <si>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</si>
  <si>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</si>
  <si>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</si>
  <si>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</si>
  <si>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</si>
  <si>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</si>
  <si>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</si>
  <si>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</si>
  <si>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</si>
  <si>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</si>
  <si>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</si>
  <si>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</si>
  <si>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</si>
  <si>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</si>
  <si>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</si>
  <si>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</si>
  <si>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</si>
  <si>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</si>
  <si>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</si>
  <si>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</si>
  <si>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</si>
  <si>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</si>
  <si>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</si>
  <si>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</si>
  <si>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</si>
  <si>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</si>
  <si>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</si>
  <si>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</si>
  <si>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</si>
  <si>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</si>
  <si>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</si>
  <si>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</si>
  <si>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</si>
  <si>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</si>
  <si>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</si>
  <si>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</si>
  <si>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</si>
  <si>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</si>
  <si>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</si>
  <si>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</si>
  <si>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</si>
  <si>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</si>
  <si>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</si>
  <si>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</si>
  <si>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</si>
  <si>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</si>
  <si>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</si>
  <si>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</si>
  <si>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</si>
  <si>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</si>
  <si>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</si>
  <si>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</si>
  <si>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</si>
  <si>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</si>
  <si>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</si>
  <si>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</si>
  <si>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</si>
  <si>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</si>
  <si>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</si>
  <si>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</si>
  <si>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</si>
  <si>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</si>
  <si>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</si>
  <si>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</si>
  <si>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</si>
  <si>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</si>
  <si>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</si>
  <si>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</si>
  <si>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</si>
  <si>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</si>
  <si>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</si>
  <si>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</si>
  <si>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</si>
  <si>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</si>
  <si>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</si>
  <si>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</si>
  <si>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</si>
  <si>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</si>
  <si>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</si>
  <si>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</si>
  <si>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</si>
  <si>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</si>
  <si>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</si>
  <si>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</si>
  <si>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</si>
  <si>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</si>
  <si>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</si>
  <si>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</si>
  <si>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</si>
  <si>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</si>
  <si>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</si>
  <si>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</si>
  <si>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</si>
  <si>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</si>
  <si>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</si>
  <si>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</si>
  <si>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</si>
  <si>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</si>
  <si>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</si>
  <si>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</si>
  <si>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</si>
  <si>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</si>
  <si>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</si>
  <si>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</si>
  <si>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</si>
  <si>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</si>
  <si>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</si>
  <si>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</si>
  <si>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</si>
  <si>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</si>
  <si>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</si>
  <si>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</si>
  <si>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</si>
  <si>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</si>
  <si>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</si>
  <si>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</si>
  <si>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</si>
  <si>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</si>
  <si>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</si>
  <si>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</si>
  <si>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</si>
  <si>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</si>
  <si>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</si>
  <si>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</si>
  <si>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</si>
  <si>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</si>
  <si>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</si>
  <si>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</si>
  <si>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</si>
  <si>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</si>
  <si>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</si>
  <si>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</si>
  <si>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</si>
  <si>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</si>
  <si>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</si>
  <si>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</si>
  <si>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</si>
  <si>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</si>
  <si>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</si>
  <si>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</si>
  <si>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</si>
  <si>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</si>
  <si>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</si>
  <si>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</si>
  <si>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</si>
  <si>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</si>
  <si>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</si>
  <si>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</si>
  <si>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</si>
  <si>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</si>
  <si>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</si>
  <si>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</si>
  <si>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</si>
  <si>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</si>
  <si>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</si>
  <si>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</si>
  <si>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</si>
  <si>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</si>
  <si>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</si>
  <si>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</si>
  <si>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</si>
  <si>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</si>
  <si>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</si>
  <si>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</si>
  <si>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</si>
  <si>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</si>
  <si>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</si>
  <si>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</si>
  <si>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</si>
  <si>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</si>
  <si>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</si>
  <si>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</si>
  <si>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</si>
  <si>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</si>
  <si>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</si>
  <si>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</si>
  <si>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</si>
  <si>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</si>
  <si>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</si>
  <si>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</si>
  <si>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</si>
  <si>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</si>
  <si>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</si>
  <si>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</si>
  <si>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</si>
  <si>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</si>
  <si>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</si>
  <si>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</si>
  <si>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</si>
  <si>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</si>
  <si>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</si>
  <si>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</si>
  <si>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</si>
  <si>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</si>
  <si>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</si>
  <si>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</si>
  <si>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</si>
  <si>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</si>
  <si>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</si>
  <si>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</si>
  <si>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</si>
  <si>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</si>
  <si>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</si>
  <si>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</si>
  <si>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</si>
  <si>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</si>
  <si>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</si>
  <si>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</si>
  <si>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</si>
  <si>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</si>
  <si>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</si>
  <si>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</si>
  <si>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</si>
  <si>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</si>
  <si>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</si>
  <si>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</si>
  <si>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</si>
  <si>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</si>
  <si>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</si>
  <si>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</si>
  <si>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</si>
  <si>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</si>
  <si>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</si>
  <si>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</si>
  <si>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</si>
  <si>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</si>
  <si>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</si>
  <si>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</si>
  <si>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</si>
  <si>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</si>
  <si>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</si>
  <si>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</si>
  <si>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</si>
  <si>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</si>
  <si>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</si>
  <si>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</si>
  <si>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</si>
  <si>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</si>
  <si>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</si>
  <si>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</si>
  <si>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</si>
  <si>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</si>
  <si>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</si>
  <si>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</si>
  <si>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</si>
  <si>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</si>
  <si>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</si>
  <si>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</si>
  <si>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</si>
  <si>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</si>
  <si>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</si>
  <si>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</si>
  <si>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</si>
  <si>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</si>
  <si>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</si>
  <si>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</si>
  <si>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</si>
  <si>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</si>
  <si>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</si>
  <si>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</si>
  <si>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</si>
  <si>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</si>
  <si>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</si>
  <si>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</si>
  <si>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</si>
  <si>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</si>
  <si>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</si>
  <si>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</si>
  <si>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</si>
  <si>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</si>
  <si>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</si>
  <si>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</si>
  <si>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</si>
  <si>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</si>
  <si>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</si>
  <si>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</si>
  <si>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</si>
  <si>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</si>
  <si>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</si>
  <si>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</si>
  <si>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</si>
  <si>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</si>
  <si>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</si>
  <si>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</si>
  <si>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</si>
  <si>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</si>
  <si>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</si>
  <si>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</si>
  <si>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</si>
  <si>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</si>
  <si>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</si>
  <si>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</si>
  <si>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</si>
  <si>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</si>
  <si>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</si>
  <si>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</si>
  <si>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</si>
  <si>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</si>
  <si>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</si>
  <si>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</si>
  <si>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</si>
  <si>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</si>
  <si>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</si>
  <si>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</si>
  <si>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</si>
  <si>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</si>
  <si>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</si>
  <si>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</si>
  <si>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</si>
  <si>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</si>
  <si>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</si>
  <si>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</si>
  <si>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</si>
  <si>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</si>
  <si>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</si>
  <si>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</si>
  <si>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</si>
  <si>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</si>
  <si>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</si>
  <si>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</si>
  <si>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</si>
  <si>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</si>
  <si>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</si>
  <si>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</si>
  <si>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</si>
  <si>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</si>
  <si>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</si>
  <si>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</si>
  <si>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</si>
  <si>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</si>
  <si>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</si>
  <si>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</si>
  <si>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</si>
  <si>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</si>
  <si>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</si>
  <si>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</si>
  <si>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</si>
  <si>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</si>
  <si>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</si>
  <si>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</si>
  <si>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</si>
  <si>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</si>
  <si>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</si>
  <si>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</si>
  <si>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</si>
  <si>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</si>
  <si>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</si>
  <si>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</si>
  <si>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</si>
  <si>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</si>
  <si>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</si>
  <si>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</si>
  <si>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</si>
  <si>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</si>
  <si>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</si>
  <si>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</si>
  <si>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</si>
  <si>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</si>
  <si>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</si>
  <si>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</si>
  <si>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</si>
  <si>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</si>
  <si>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</si>
  <si>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</si>
  <si>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</si>
  <si>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</si>
  <si>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</si>
  <si>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</si>
  <si>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</si>
  <si>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</si>
  <si>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</si>
  <si>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</si>
  <si>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</si>
  <si>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</si>
  <si>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</si>
  <si>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</si>
  <si>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</si>
  <si>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</si>
  <si>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</si>
  <si>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</si>
  <si>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</si>
  <si>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</si>
  <si>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</si>
  <si>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</si>
  <si>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</si>
  <si>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</si>
  <si>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</si>
  <si>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</si>
  <si>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</si>
  <si>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</si>
  <si>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</si>
  <si>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</si>
  <si>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</si>
  <si>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</si>
  <si>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</si>
  <si>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</si>
  <si>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</si>
  <si>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</si>
  <si>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</si>
  <si>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</si>
  <si>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</si>
  <si>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</si>
  <si>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</si>
  <si>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</si>
  <si>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</si>
  <si>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</si>
  <si>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</si>
  <si>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</si>
  <si>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</si>
  <si>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</si>
  <si>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</si>
  <si>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</si>
  <si>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</si>
  <si>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</si>
  <si>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</si>
  <si>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</si>
  <si>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</si>
  <si>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</si>
  <si>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</si>
  <si>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</si>
  <si>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</si>
  <si>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</si>
  <si>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</si>
  <si>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</si>
  <si>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</si>
  <si>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</si>
  <si>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</si>
  <si>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</si>
  <si>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</si>
  <si>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</si>
  <si>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</si>
  <si>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</si>
  <si>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</si>
  <si>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</si>
  <si>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</si>
  <si>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</si>
  <si>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</si>
  <si>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</si>
  <si>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</si>
  <si>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</si>
  <si>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</si>
  <si>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</si>
  <si>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</si>
  <si>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</si>
  <si>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</si>
  <si>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</si>
  <si>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</si>
  <si>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</si>
  <si>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</si>
  <si>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</si>
  <si>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</si>
  <si>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</si>
  <si>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</si>
  <si>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</si>
  <si>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</si>
  <si>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</si>
  <si>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</si>
  <si>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</si>
  <si>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</si>
  <si>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</si>
  <si>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</si>
  <si>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</si>
  <si>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</si>
  <si>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</si>
  <si>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</si>
  <si>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</si>
  <si>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</si>
  <si>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</si>
  <si>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</si>
  <si>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</si>
  <si>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</si>
  <si>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</si>
  <si>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</si>
  <si>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</si>
  <si>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</si>
  <si>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</si>
  <si>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</si>
  <si>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</si>
  <si>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</si>
  <si>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</si>
  <si>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</si>
  <si>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</si>
  <si>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</si>
  <si>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</si>
  <si>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</si>
  <si>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</si>
  <si>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</si>
  <si>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</si>
  <si>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</si>
  <si>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</si>
  <si>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</si>
  <si>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</si>
  <si>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</si>
  <si>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</si>
  <si>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</si>
  <si>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</si>
  <si>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</si>
  <si>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</si>
  <si>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</si>
  <si>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</si>
  <si>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</si>
  <si>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</si>
  <si>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</si>
  <si>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</si>
  <si>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</si>
  <si>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</si>
  <si>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</si>
  <si>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</si>
  <si>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</si>
  <si>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</si>
  <si>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</si>
  <si>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</si>
  <si>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</si>
  <si>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</si>
  <si>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</si>
  <si>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</si>
  <si>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</si>
  <si>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</si>
  <si>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</si>
  <si>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</si>
  <si>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</si>
  <si>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</si>
  <si>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</si>
  <si>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</si>
  <si>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</si>
  <si>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</si>
  <si>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</si>
  <si>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</si>
  <si>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</si>
  <si>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</si>
  <si>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</si>
  <si>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</si>
  <si>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</si>
  <si>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</si>
  <si>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</si>
  <si>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</si>
  <si>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</si>
  <si>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</si>
  <si>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</si>
  <si>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</si>
  <si>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</si>
  <si>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</si>
  <si>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</si>
  <si>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</si>
  <si>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</si>
  <si>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</si>
  <si>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</si>
  <si>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</si>
  <si>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</si>
  <si>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</si>
  <si>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</si>
  <si>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</si>
  <si>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</si>
  <si>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</si>
  <si>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</si>
  <si>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</si>
  <si>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</si>
  <si>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</si>
  <si>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</si>
  <si>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</si>
  <si>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</si>
  <si>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</si>
  <si>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</si>
  <si>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</si>
  <si>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</si>
  <si>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</si>
  <si>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</si>
  <si>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</si>
  <si>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</si>
  <si>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</si>
  <si>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</si>
  <si>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</si>
  <si>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</si>
  <si>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</si>
  <si>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</si>
  <si>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</si>
  <si>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</si>
  <si>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</si>
  <si>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</si>
  <si>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</si>
  <si>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</si>
  <si>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</si>
  <si>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</si>
  <si>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</si>
  <si>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</si>
  <si>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</si>
  <si>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</si>
  <si>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</si>
  <si>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</si>
  <si>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</si>
  <si>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</si>
  <si>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</si>
  <si>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</si>
  <si>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</si>
  <si>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</si>
  <si>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</si>
  <si>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</si>
  <si>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</si>
  <si>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</si>
  <si>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</si>
  <si>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</si>
  <si>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</si>
  <si>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</si>
  <si>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</si>
  <si>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</si>
  <si>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</si>
  <si>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</si>
  <si>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</si>
  <si>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</si>
  <si>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</si>
  <si>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</si>
  <si>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</si>
  <si>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</si>
  <si>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</si>
  <si>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</si>
  <si>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</si>
  <si>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</si>
  <si>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</si>
  <si>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</si>
  <si>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</si>
  <si>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</si>
  <si>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</si>
  <si>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</si>
  <si>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</si>
  <si>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</si>
  <si>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</si>
  <si>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</si>
  <si>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</si>
  <si>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</si>
  <si>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</si>
  <si>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</si>
  <si>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</si>
  <si>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</si>
  <si>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</si>
  <si>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</si>
  <si>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</si>
  <si>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</si>
  <si>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</si>
  <si>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</si>
  <si>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</si>
  <si>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</si>
  <si>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</si>
  <si>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</si>
  <si>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</si>
  <si>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</si>
  <si>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</si>
  <si>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</si>
  <si>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</si>
  <si>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</si>
  <si>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</si>
  <si>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</si>
  <si>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</si>
  <si>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</si>
  <si>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</si>
  <si>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</si>
  <si>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</si>
  <si>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</si>
  <si>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</si>
  <si>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</si>
  <si>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</si>
  <si>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</si>
  <si>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</si>
  <si>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</si>
  <si>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</si>
  <si>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</si>
  <si>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</si>
  <si>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</si>
  <si>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</si>
  <si>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</si>
  <si>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</si>
  <si>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</si>
  <si>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</si>
  <si>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</si>
  <si>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</si>
  <si>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</si>
  <si>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</si>
  <si>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</si>
  <si>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</si>
  <si>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</si>
  <si>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</si>
  <si>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</si>
  <si>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</si>
  <si>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</si>
  <si>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</si>
  <si>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</si>
  <si>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</si>
  <si>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</si>
  <si>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</si>
  <si>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</si>
  <si>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</si>
  <si>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</si>
  <si>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</si>
  <si>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</si>
  <si>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</si>
  <si>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</si>
  <si>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</si>
  <si>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</si>
  <si>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</si>
  <si>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</si>
  <si>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</si>
  <si>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</si>
  <si>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</si>
  <si>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</si>
  <si>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</si>
  <si>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</si>
  <si>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</si>
  <si>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</si>
  <si>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</si>
  <si>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</si>
  <si>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</si>
  <si>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</si>
  <si>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</si>
  <si>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</si>
  <si>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</si>
  <si>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</si>
  <si>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</si>
  <si>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</si>
  <si>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</si>
  <si>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</si>
  <si>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</si>
  <si>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</si>
  <si>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</si>
  <si>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</si>
  <si>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</si>
  <si>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</si>
  <si>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</si>
  <si>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</si>
  <si>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</si>
  <si>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</si>
  <si>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</si>
  <si>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</si>
  <si>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</si>
  <si>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</si>
  <si>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</si>
  <si>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</si>
  <si>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</si>
  <si>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</si>
  <si>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</si>
  <si>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</si>
  <si>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</si>
  <si>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</si>
  <si>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</si>
  <si>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</si>
  <si>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</si>
  <si>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</si>
  <si>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</si>
  <si>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</si>
  <si>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</si>
  <si>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</si>
  <si>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</si>
  <si>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</si>
  <si>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</si>
  <si>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</si>
  <si>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</si>
  <si>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</si>
  <si>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</si>
  <si>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</si>
  <si>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</si>
  <si>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</si>
  <si>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</si>
  <si>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</si>
  <si>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</si>
  <si>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</si>
  <si>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</si>
  <si>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</si>
  <si>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</si>
  <si>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</si>
  <si>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</si>
  <si>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</si>
  <si>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</si>
  <si>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</si>
  <si>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</si>
  <si>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</si>
  <si>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</si>
  <si>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</si>
  <si>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</si>
  <si>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</si>
  <si>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</si>
  <si>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</si>
  <si>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</si>
  <si>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</si>
  <si>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</si>
  <si>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</si>
  <si>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</si>
  <si>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</si>
  <si>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</si>
  <si>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</si>
  <si>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</si>
  <si>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</si>
  <si>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</si>
  <si>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</si>
  <si>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</si>
  <si>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</si>
  <si>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</si>
  <si>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</si>
  <si>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</si>
  <si>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</si>
  <si>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</si>
  <si>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</si>
  <si>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</si>
  <si>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</si>
  <si>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</si>
  <si>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</si>
  <si>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</si>
  <si>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</si>
  <si>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</si>
  <si>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</si>
  <si>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</si>
  <si>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</si>
  <si>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</si>
  <si>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</si>
  <si>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</si>
  <si>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</si>
  <si>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</si>
  <si>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</si>
  <si>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</si>
  <si>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</si>
  <si>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</si>
  <si>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</si>
  <si>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</si>
  <si>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</si>
  <si>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</si>
  <si>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</si>
  <si>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</si>
  <si>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</si>
  <si>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</si>
  <si>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</si>
  <si>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</si>
  <si>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</si>
  <si>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</si>
  <si>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</si>
  <si>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</si>
  <si>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</si>
  <si>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</si>
  <si>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</si>
  <si>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</si>
  <si>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</si>
  <si>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</si>
  <si>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</si>
  <si>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</si>
  <si>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</si>
  <si>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</si>
  <si>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</si>
  <si>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</si>
  <si>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</si>
  <si>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</si>
  <si>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</si>
  <si>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</si>
  <si>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</si>
  <si>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</si>
  <si>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</si>
  <si>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</si>
  <si>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</si>
  <si>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</si>
  <si>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</si>
  <si>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</si>
  <si>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</si>
  <si>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</si>
  <si>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</si>
  <si>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</si>
  <si>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</si>
  <si>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</si>
  <si>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</si>
  <si>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</si>
  <si>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</si>
  <si>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</si>
  <si>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</si>
  <si>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</si>
  <si>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</si>
  <si>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</si>
  <si>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</si>
  <si>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</si>
  <si>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</si>
  <si>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</si>
  <si>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</si>
  <si>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</si>
  <si>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</si>
  <si>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</si>
  <si>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</si>
  <si>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</si>
  <si>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</si>
  <si>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</si>
  <si>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</si>
  <si>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</si>
  <si>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</si>
  <si>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</si>
  <si>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</si>
  <si>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</si>
  <si>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</si>
  <si>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</si>
  <si>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</si>
  <si>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</si>
  <si>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</si>
  <si>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</si>
  <si>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</si>
  <si>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</si>
  <si>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</si>
  <si>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</si>
  <si>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</si>
  <si>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</si>
  <si>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</si>
  <si>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</si>
  <si>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</si>
  <si>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</si>
  <si>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</si>
  <si>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</si>
  <si>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</si>
  <si>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</si>
  <si>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</si>
  <si>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</si>
  <si>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</si>
  <si>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</si>
  <si>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</si>
  <si>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</si>
  <si>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</si>
  <si>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</si>
  <si>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</si>
  <si>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</si>
  <si>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</si>
  <si>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</si>
  <si>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</si>
  <si>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</si>
  <si>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</si>
  <si>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</si>
  <si>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</si>
  <si>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</si>
  <si>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</si>
  <si>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</si>
  <si>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</si>
  <si>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</si>
  <si>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</si>
  <si>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</si>
  <si>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</si>
  <si>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</si>
  <si>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</si>
  <si>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</si>
  <si>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</si>
  <si>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</si>
  <si>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</si>
  <si>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</si>
  <si>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</si>
  <si>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</si>
  <si>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</si>
  <si>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</si>
  <si>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</si>
  <si>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</si>
  <si>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</si>
  <si>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</si>
  <si>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</si>
  <si>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</si>
  <si>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</si>
  <si>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</si>
  <si>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</si>
  <si>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</si>
  <si>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</si>
  <si>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</si>
  <si>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</si>
  <si>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</si>
  <si>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</si>
  <si>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</si>
  <si>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</si>
  <si>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</si>
  <si>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</si>
  <si>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</si>
  <si>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</si>
  <si>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</si>
  <si>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</si>
  <si>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</si>
  <si>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</si>
  <si>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</si>
  <si>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</si>
  <si>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</si>
  <si>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</si>
  <si>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</si>
  <si>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</si>
  <si>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</si>
  <si>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</si>
  <si>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</si>
  <si>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</si>
  <si>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</si>
  <si>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</si>
  <si>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</si>
  <si>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</si>
  <si>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</si>
  <si>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</si>
  <si>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</si>
  <si>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</si>
  <si>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</si>
  <si>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</si>
  <si>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</si>
  <si>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</si>
  <si>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</si>
  <si>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</si>
  <si>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</si>
  <si>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</si>
  <si>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</si>
  <si>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</si>
  <si>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</si>
  <si>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</si>
  <si>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</si>
  <si>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</si>
  <si>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</si>
  <si>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</si>
  <si>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</si>
  <si>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</si>
  <si>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</si>
  <si>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</si>
  <si>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</si>
  <si>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</si>
  <si>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</si>
  <si>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</si>
  <si>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</si>
  <si>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</si>
  <si>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</si>
  <si>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</si>
  <si>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</si>
  <si>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</si>
  <si>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</si>
  <si>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</si>
  <si>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</si>
  <si>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</si>
  <si>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</si>
  <si>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</si>
  <si>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</si>
  <si>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</si>
  <si>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</si>
  <si>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</si>
  <si>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</si>
  <si>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</si>
  <si>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</si>
  <si>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</si>
  <si>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</si>
  <si>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</si>
  <si>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</si>
  <si>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</si>
  <si>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</si>
  <si>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</si>
  <si>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</si>
  <si>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</si>
  <si>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</si>
  <si>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</si>
  <si>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</si>
  <si>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</si>
  <si>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</si>
  <si>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</si>
  <si>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</si>
  <si>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</si>
  <si>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</si>
  <si>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</si>
  <si>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</si>
  <si>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</si>
  <si>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</si>
  <si>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</si>
  <si>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</si>
  <si>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</si>
  <si>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</si>
  <si>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</si>
  <si>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</si>
  <si>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</si>
  <si>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</si>
  <si>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</si>
  <si>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</si>
  <si>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</si>
  <si>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</si>
  <si>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</si>
  <si>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</si>
  <si>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</si>
  <si>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</si>
  <si>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</si>
  <si>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</si>
  <si>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</si>
  <si>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</si>
  <si>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</si>
  <si>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</si>
  <si>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</si>
  <si>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</si>
  <si>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</si>
  <si>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</si>
  <si>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</si>
  <si>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</si>
  <si>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</si>
  <si>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</si>
  <si>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</si>
  <si>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</si>
  <si>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</si>
  <si>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</si>
  <si>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</si>
  <si>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</si>
  <si>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</si>
  <si>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</si>
  <si>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</si>
  <si>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</si>
  <si>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</si>
  <si>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</si>
  <si>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</si>
  <si>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</si>
  <si>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</si>
  <si>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</si>
  <si>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</si>
  <si>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</si>
  <si>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</si>
  <si>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</si>
  <si>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</si>
  <si>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</si>
  <si>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</si>
  <si>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</si>
  <si>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</si>
  <si>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</si>
  <si>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</si>
  <si>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</si>
  <si>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</si>
  <si>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</si>
  <si>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</si>
  <si>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</si>
  <si>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</si>
  <si>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</si>
  <si>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</si>
  <si>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</si>
  <si>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</si>
  <si>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</si>
  <si>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</si>
  <si>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</si>
  <si>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</si>
  <si>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</si>
  <si>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</si>
  <si>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</si>
  <si>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</si>
  <si>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</si>
  <si>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</si>
  <si>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</si>
  <si>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</si>
  <si>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</si>
  <si>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</si>
  <si>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</si>
  <si>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</si>
  <si>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</si>
  <si>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</si>
  <si>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</si>
  <si>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</si>
  <si>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</si>
  <si>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</si>
  <si>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</si>
  <si>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</si>
  <si>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</si>
  <si>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</si>
  <si>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</si>
  <si>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</si>
  <si>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</si>
  <si>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</si>
  <si>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</si>
  <si>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</si>
  <si>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</si>
  <si>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</si>
  <si>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</si>
  <si>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</si>
  <si>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</si>
  <si>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</si>
  <si>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</si>
  <si>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</si>
  <si>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</si>
  <si>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</si>
  <si>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</si>
  <si>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</si>
  <si>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</si>
  <si>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</si>
  <si>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</si>
  <si>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</si>
  <si>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</si>
  <si>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</si>
  <si>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</si>
  <si>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</si>
  <si>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</si>
  <si>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</si>
  <si>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</si>
  <si>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</si>
  <si>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</si>
  <si>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</si>
  <si>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</si>
  <si>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</si>
  <si>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</si>
  <si>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</si>
  <si>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</si>
  <si>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</si>
  <si>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</si>
  <si>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</si>
  <si>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</si>
  <si>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</si>
  <si>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</si>
  <si>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</si>
  <si>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</si>
  <si>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</si>
  <si>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</si>
  <si>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</si>
  <si>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</si>
  <si>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</si>
  <si>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</si>
  <si>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</si>
  <si>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</si>
  <si>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</si>
  <si>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</si>
  <si>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</si>
  <si>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</si>
  <si>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</si>
  <si>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</si>
  <si>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</si>
  <si>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</si>
  <si>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</si>
  <si>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</si>
  <si>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</si>
  <si>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</si>
  <si>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</si>
  <si>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</si>
  <si>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</si>
  <si>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</si>
  <si>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</si>
  <si>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</si>
  <si>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</si>
  <si>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</si>
  <si>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</si>
  <si>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</si>
  <si>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</si>
  <si>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</si>
  <si>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</si>
  <si>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</si>
  <si>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</si>
  <si>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</si>
  <si>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</si>
  <si>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</si>
  <si>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</si>
  <si>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</si>
  <si>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</si>
  <si>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</si>
  <si>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</si>
  <si>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</si>
  <si>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</si>
  <si>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</si>
  <si>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</si>
  <si>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</si>
  <si>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</si>
  <si>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</si>
  <si>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</si>
  <si>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</si>
  <si>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</si>
  <si>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</si>
  <si>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</si>
  <si>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</si>
  <si>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</si>
  <si>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</si>
  <si>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</si>
  <si>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</si>
  <si>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</si>
  <si>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</si>
  <si>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</si>
  <si>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</si>
  <si>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</si>
  <si>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</si>
  <si>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</si>
  <si>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</si>
  <si>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</si>
  <si>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</si>
  <si>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</si>
  <si>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</si>
  <si>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</si>
  <si>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</si>
  <si>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</si>
  <si>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</si>
  <si>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</si>
  <si>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</si>
  <si>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</si>
  <si>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</si>
  <si>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</si>
  <si>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</si>
  <si>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</si>
  <si>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</si>
  <si>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</si>
  <si>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</si>
  <si>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</si>
  <si>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</si>
  <si>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</si>
  <si>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</si>
  <si>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</si>
  <si>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</si>
  <si>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</si>
  <si>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</si>
  <si>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</si>
  <si>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</si>
  <si>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</si>
  <si>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</si>
  <si>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</si>
  <si>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</si>
  <si>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</si>
  <si>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</si>
  <si>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</si>
  <si>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</si>
  <si>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</si>
  <si>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</si>
  <si>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</si>
  <si>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</si>
  <si>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</si>
  <si>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</si>
  <si>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</si>
  <si>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</si>
  <si>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</si>
  <si>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</si>
  <si>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</si>
  <si>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</si>
  <si>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</si>
  <si>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</si>
  <si>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</si>
  <si>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</si>
  <si>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</si>
  <si>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</si>
  <si>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</si>
  <si>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</si>
  <si>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</si>
  <si>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</si>
  <si>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</si>
  <si>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</si>
  <si>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</si>
  <si>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</si>
  <si>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</si>
  <si>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</si>
  <si>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</si>
  <si>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</si>
  <si>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</si>
  <si>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</si>
  <si>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</si>
  <si>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</si>
  <si>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</si>
  <si>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</si>
  <si>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</si>
  <si>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</si>
  <si>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</si>
  <si>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</si>
  <si>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</si>
  <si>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</si>
  <si>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</si>
  <si>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</si>
  <si>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</si>
  <si>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</si>
  <si>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</si>
  <si>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</si>
  <si>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</si>
  <si>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</si>
  <si>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</si>
  <si>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</si>
  <si>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</si>
  <si>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</si>
  <si>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</si>
  <si>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</si>
  <si>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</si>
  <si>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</si>
  <si>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</si>
  <si>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</si>
  <si>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</si>
  <si>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</si>
  <si>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</si>
  <si>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</si>
  <si>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</si>
  <si>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</si>
  <si>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</si>
  <si>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</si>
  <si>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</si>
  <si>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</si>
  <si>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</si>
  <si>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</si>
  <si>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</si>
  <si>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</si>
  <si>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</si>
  <si>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</si>
  <si>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</si>
  <si>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</si>
  <si>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</si>
  <si>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</si>
  <si>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</si>
  <si>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</si>
  <si>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</si>
  <si>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</si>
  <si>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</si>
  <si>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</si>
  <si>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</si>
  <si>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</si>
  <si>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</si>
  <si>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</si>
  <si>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</si>
  <si>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</si>
  <si>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</si>
  <si>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</si>
  <si>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</si>
  <si>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</si>
  <si>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</si>
  <si>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</si>
  <si>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</si>
  <si>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</si>
  <si>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</si>
  <si>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</si>
  <si>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</si>
  <si>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</si>
  <si>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</si>
  <si>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</si>
  <si>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</si>
  <si>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</si>
  <si>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</si>
  <si>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</si>
  <si>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</si>
  <si>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</si>
  <si>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</si>
  <si>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</si>
  <si>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</si>
  <si>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</si>
  <si>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</si>
  <si>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</si>
  <si>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</si>
  <si>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</si>
  <si>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</si>
  <si>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</si>
  <si>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</si>
  <si>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</si>
  <si>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</si>
  <si>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</si>
  <si>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</si>
  <si>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</si>
  <si>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</si>
  <si>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</si>
  <si>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</si>
  <si>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</si>
  <si>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</si>
  <si>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</si>
  <si>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</si>
  <si>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</si>
  <si>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</si>
  <si>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</si>
  <si>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</si>
  <si>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</si>
  <si>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</si>
  <si>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</si>
  <si>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</si>
  <si>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</si>
  <si>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</si>
  <si>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</si>
  <si>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</si>
  <si>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</si>
  <si>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</si>
  <si>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</si>
  <si>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</si>
  <si>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</si>
  <si>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</si>
  <si>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</si>
  <si>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</si>
  <si>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</si>
  <si>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</si>
  <si>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</si>
  <si>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</si>
  <si>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</si>
  <si>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</si>
  <si>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</si>
  <si>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</si>
  <si>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</si>
  <si>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</si>
  <si>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</si>
  <si>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</si>
  <si>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</si>
  <si>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</si>
  <si>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</si>
  <si>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</si>
  <si>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</si>
  <si>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</si>
  <si>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</si>
  <si>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</si>
  <si>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</si>
  <si>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</si>
  <si>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</si>
  <si>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</si>
  <si>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</si>
  <si>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</si>
  <si>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</si>
  <si>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</si>
  <si>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</si>
  <si>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</si>
  <si>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</si>
  <si>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</si>
  <si>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</si>
  <si>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</si>
  <si>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</si>
  <si>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</si>
  <si>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</si>
  <si>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</si>
  <si>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</si>
  <si>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</si>
  <si>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</si>
  <si>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</si>
  <si>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</si>
  <si>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</si>
  <si>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</si>
  <si>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</si>
  <si>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</si>
  <si>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</si>
  <si>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</si>
  <si>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</si>
  <si>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</si>
  <si>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</si>
  <si>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</si>
  <si>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</si>
  <si>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</si>
  <si>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</si>
  <si>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</si>
  <si>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</si>
  <si>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</si>
  <si>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</si>
  <si>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</si>
  <si>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</si>
  <si>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</si>
  <si>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</si>
  <si>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</si>
  <si>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</si>
  <si>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</si>
  <si>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</si>
  <si>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</si>
  <si>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</si>
  <si>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</si>
  <si>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</si>
  <si>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</si>
  <si>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</si>
  <si>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</si>
  <si>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</si>
  <si>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</si>
  <si>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</si>
  <si>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</si>
  <si>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</si>
  <si>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</si>
  <si>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</si>
  <si>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</si>
  <si>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</si>
  <si>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</si>
  <si>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</si>
  <si>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</si>
  <si>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</si>
  <si>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</si>
  <si>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</si>
  <si>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</si>
  <si>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</si>
  <si>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</si>
  <si>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</si>
  <si>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</si>
  <si>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</si>
  <si>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</si>
  <si>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</si>
  <si>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</si>
  <si>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</si>
  <si>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</si>
  <si>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</si>
  <si>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</si>
  <si>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</si>
  <si>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</si>
  <si>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</si>
  <si>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</si>
  <si>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</si>
  <si>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</si>
  <si>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</si>
  <si>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</si>
  <si>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</si>
  <si>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</si>
  <si>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</si>
  <si>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</si>
  <si>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</si>
  <si>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</si>
  <si>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</si>
  <si>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</si>
  <si>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</si>
  <si>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</si>
  <si>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</si>
  <si>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</si>
  <si>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</si>
  <si>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</si>
  <si>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</si>
  <si>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</si>
  <si>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</si>
  <si>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</si>
  <si>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</si>
  <si>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</si>
  <si>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</si>
  <si>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</si>
  <si>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</si>
  <si>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</si>
  <si>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</si>
  <si>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</si>
  <si>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</si>
  <si>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</si>
  <si>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</si>
  <si>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</si>
  <si>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</si>
  <si>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</si>
  <si>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</si>
  <si>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</si>
  <si>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</si>
  <si>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</si>
  <si>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</si>
  <si>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</si>
  <si>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</si>
  <si>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</si>
  <si>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</si>
  <si>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</si>
  <si>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</si>
  <si>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</si>
  <si>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</si>
  <si>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</si>
  <si>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</si>
  <si>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</si>
  <si>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</si>
  <si>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</si>
  <si>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</si>
  <si>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</si>
  <si>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</si>
  <si>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</si>
  <si>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</si>
  <si>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</si>
  <si>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</si>
  <si>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</si>
  <si>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Mack &amp; Associates, P.C.</t>
  </si>
  <si>
    <t>Tawnya Mack, CPA</t>
  </si>
  <si>
    <t>116 E. Washington St., Suite One</t>
  </si>
  <si>
    <t>Morris</t>
  </si>
  <si>
    <t>IL</t>
  </si>
  <si>
    <t>815-942-3306</t>
  </si>
  <si>
    <t>815-942-9430</t>
  </si>
  <si>
    <t>066-005100</t>
  </si>
  <si>
    <t>tmack@mackcpas.com</t>
  </si>
  <si>
    <t>DEKALB</t>
  </si>
  <si>
    <t>600 EAST LIONS ROAD</t>
  </si>
  <si>
    <t>SANDWICH</t>
  </si>
  <si>
    <t>JBARBIC@IVVC.NET</t>
  </si>
  <si>
    <t>X</t>
  </si>
  <si>
    <t>JOSEPH BARBIC</t>
  </si>
  <si>
    <t>815-786-7616</t>
  </si>
  <si>
    <t>815-786-6928</t>
  </si>
  <si>
    <t>MACK &amp; ASSOCIATES, P.C.</t>
  </si>
  <si>
    <t>See PDF in opinion page with signiture</t>
  </si>
  <si>
    <t>SEE BELOW FOR MEMBER DISTRICTS OF IVVC JOINT AGREEMENT</t>
  </si>
  <si>
    <t>VALEES</t>
  </si>
  <si>
    <t>EARLVILLE SCHOOL DISTRICT #9, HINCKLEY-BIG ROCK SCHOOL DISTRICT #429, INDIAN CREEK SCHOOL DISTRICT #425, LELAND SCHOOL DISTRICT #1, NEWARK SCHOOL DISTRICT #18, PAW PAW SCHOOL DISTRICT #271,</t>
  </si>
  <si>
    <t>PLANO SCHOOL DISTRICT #88, SANDWICH SCHOOL DISTRICT #430, SERENA SCHOOL DISTRICT #2, SOMONAUK SCHOOL DISTRICT #432, YORKVILLE SCHOOL DISTRICT #115.</t>
  </si>
  <si>
    <t>Revenues, Line 107, Function 1999- Other Local Revenues- Reimbursements from VALEES</t>
  </si>
  <si>
    <t>Revenues, Line 220, Function 4799- CTE- Other- Perkins Grant</t>
  </si>
  <si>
    <t>Ed- Board of Ed- Purchased Services- Lease</t>
  </si>
  <si>
    <t>Ed- Board of Ed- Purchased Services- Audit</t>
  </si>
  <si>
    <t>Ed- Board of Ed- Purchased Services- Insurance</t>
  </si>
  <si>
    <t>Ed- Tort Immunity- Purchased Services- Workers' Comp.</t>
  </si>
  <si>
    <t>Ed- O&amp;M- Purchased Services- Internet</t>
  </si>
  <si>
    <t>10-2300-300</t>
  </si>
  <si>
    <t>10-2540-300</t>
  </si>
  <si>
    <t>Marco Technologies</t>
  </si>
  <si>
    <t>Newkirk &amp; Associates, Inc.</t>
  </si>
  <si>
    <t>Ramza Insurance Group</t>
  </si>
  <si>
    <t>Employers Preferred Ins. Co,</t>
  </si>
  <si>
    <t>Comcast Cable</t>
  </si>
  <si>
    <t>Indian Valley Area Voc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</si>
</sst>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0" applyFont="1" applyBorder="1" applyAlignment="1" applyProtection="1">
      <alignmen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21" applyFont="1" applyBorder="1" applyAlignment="1" applyProtection="1">
      <alignment vertical="top" wrapText="1"/>
      <protection locked="0"/>
    </xf>
    <xf numFmtId="0" fontId="49" fillId="0" borderId="0" xfId="21" applyFont="1" applyBorder="1" applyAlignment="1" applyProtection="1">
      <alignment vertical="top" wrapText="1"/>
      <protection locked="0"/>
    </xf>
    <xf numFmtId="0" fontId="49" fillId="0" borderId="97" xfId="21"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21" xr:uid="{00000000-0005-0000-0000-000008000000}"/>
    <cellStyle name="Normal 3 2_Shared Outsourced Services 31" xfId="20" xr:uid="{00000000-0005-0000-0000-000009000000}"/>
    <cellStyle name="Normal 3_Shared Outsourced Services 31" xfId="19" xr:uid="{00000000-0005-0000-0000-00000A000000}"/>
    <cellStyle name="Normal 4" xfId="16" xr:uid="{00000000-0005-0000-0000-00000B000000}"/>
    <cellStyle name="Normal 5" xfId="17"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3" t="s">
        <v>405</v>
      </c>
      <c r="J1" s="1984"/>
      <c r="K1" s="1984"/>
      <c r="L1" s="1984"/>
      <c r="M1" s="1984"/>
      <c r="N1" s="1984"/>
      <c r="O1" s="1984"/>
      <c r="P1" s="1984"/>
      <c r="Q1" s="1984"/>
      <c r="R1" s="1984"/>
      <c r="S1" s="1984"/>
    </row>
    <row r="2" spans="1:28" ht="12" customHeight="1" x14ac:dyDescent="0.2">
      <c r="A2" s="47" t="s">
        <v>1991</v>
      </c>
      <c r="D2" s="48"/>
      <c r="I2" s="1985" t="s">
        <v>979</v>
      </c>
      <c r="J2" s="1984"/>
      <c r="K2" s="1984"/>
      <c r="L2" s="1984"/>
      <c r="M2" s="1984"/>
      <c r="N2" s="1984"/>
      <c r="O2" s="1984"/>
      <c r="P2" s="1984"/>
      <c r="Q2" s="1984"/>
      <c r="R2" s="1984"/>
      <c r="S2" s="1984"/>
    </row>
    <row r="3" spans="1:28" ht="12" customHeight="1" x14ac:dyDescent="0.2">
      <c r="A3" s="155" t="s">
        <v>1943</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c r="C5" s="26" t="s">
        <v>910</v>
      </c>
      <c r="D5" s="84"/>
      <c r="E5" s="84"/>
      <c r="H5" s="38"/>
      <c r="I5" s="1993" t="s">
        <v>680</v>
      </c>
      <c r="J5" s="1992"/>
      <c r="K5" s="1992"/>
      <c r="L5" s="1992"/>
      <c r="M5" s="1992"/>
      <c r="N5" s="1992"/>
      <c r="O5" s="1992"/>
      <c r="P5" s="1992"/>
      <c r="Q5" s="1992"/>
      <c r="R5" s="1992"/>
      <c r="S5" s="1992"/>
    </row>
    <row r="6" spans="1:28" ht="14.1" customHeight="1" x14ac:dyDescent="0.2">
      <c r="B6" s="104" t="s">
        <v>2064</v>
      </c>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16019430040</v>
      </c>
      <c r="B13" s="2019"/>
      <c r="C13" s="2019"/>
      <c r="D13" s="2019"/>
      <c r="E13" s="2019"/>
      <c r="F13" s="2019"/>
      <c r="G13" s="2019"/>
      <c r="H13" s="2020"/>
      <c r="I13" s="31"/>
      <c r="J13" s="30"/>
      <c r="K13" s="28"/>
      <c r="L13" s="30"/>
      <c r="M13" s="30"/>
      <c r="N13" s="30"/>
      <c r="O13" s="30"/>
      <c r="P13" s="30"/>
      <c r="Q13" s="30"/>
      <c r="R13" s="30"/>
      <c r="S13" s="30"/>
      <c r="T13" s="2023" t="s">
        <v>2065</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2074</v>
      </c>
      <c r="B15" s="2021"/>
      <c r="C15" s="2021"/>
      <c r="D15" s="2021"/>
      <c r="E15" s="2021"/>
      <c r="F15" s="2021"/>
      <c r="G15" s="2021"/>
      <c r="H15" s="2022"/>
      <c r="T15" s="2027" t="s">
        <v>2066</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2102</v>
      </c>
      <c r="B17" s="1978"/>
      <c r="C17" s="1978"/>
      <c r="D17" s="1978"/>
      <c r="E17" s="1978"/>
      <c r="F17" s="1978"/>
      <c r="G17" s="1978"/>
      <c r="H17" s="2003"/>
      <c r="T17" s="2034" t="s">
        <v>2067</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2075</v>
      </c>
      <c r="B19" s="1963"/>
      <c r="C19" s="1963"/>
      <c r="D19" s="1963"/>
      <c r="E19" s="1963"/>
      <c r="F19" s="1963"/>
      <c r="G19" s="1963"/>
      <c r="H19" s="1943"/>
      <c r="I19" s="30"/>
      <c r="J19" s="99"/>
      <c r="K19" s="40"/>
      <c r="L19" s="38"/>
      <c r="M19" s="112" t="s">
        <v>315</v>
      </c>
      <c r="P19" s="27"/>
      <c r="Q19" s="27"/>
      <c r="R19" s="27"/>
      <c r="S19" s="31"/>
      <c r="T19" s="2017" t="s">
        <v>2068</v>
      </c>
      <c r="U19" s="1942"/>
      <c r="V19" s="1942"/>
      <c r="W19" s="1943"/>
      <c r="X19" s="2032" t="s">
        <v>2069</v>
      </c>
      <c r="Y19" s="2033"/>
      <c r="Z19" s="2030">
        <v>60450</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2076</v>
      </c>
      <c r="B21" s="1942"/>
      <c r="C21" s="1942"/>
      <c r="D21" s="1942"/>
      <c r="E21" s="1942"/>
      <c r="F21" s="1942"/>
      <c r="G21" s="1942"/>
      <c r="H21" s="1943"/>
      <c r="I21" s="1997" t="s">
        <v>678</v>
      </c>
      <c r="J21" s="1992"/>
      <c r="K21" s="1992"/>
      <c r="L21" s="1992"/>
      <c r="M21" s="1992"/>
      <c r="N21" s="1992"/>
      <c r="O21" s="1992"/>
      <c r="P21" s="1992"/>
      <c r="Q21" s="1992"/>
      <c r="R21" s="1992"/>
      <c r="S21" s="1998"/>
      <c r="T21" s="2041" t="s">
        <v>2070</v>
      </c>
      <c r="U21" s="2042"/>
      <c r="V21" s="2042"/>
      <c r="W21" s="2042"/>
      <c r="X21" s="2047" t="s">
        <v>2071</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2077</v>
      </c>
      <c r="B23" s="1995"/>
      <c r="C23" s="1995"/>
      <c r="D23" s="1995"/>
      <c r="E23" s="1995"/>
      <c r="F23" s="1995"/>
      <c r="G23" s="1995"/>
      <c r="H23" s="1996"/>
      <c r="T23" s="1977" t="s">
        <v>2072</v>
      </c>
      <c r="U23" s="2040"/>
      <c r="V23" s="2040"/>
      <c r="W23" s="2040"/>
      <c r="X23" s="2044">
        <v>43799</v>
      </c>
      <c r="Y23" s="2045"/>
      <c r="Z23" s="2045"/>
      <c r="AA23" s="2046"/>
    </row>
    <row r="24" spans="1:27" ht="14.1" customHeight="1" x14ac:dyDescent="0.2">
      <c r="A24" s="88" t="s">
        <v>677</v>
      </c>
      <c r="B24" s="49"/>
      <c r="C24" s="49"/>
      <c r="D24" s="49"/>
      <c r="E24" s="49"/>
      <c r="F24" s="49"/>
      <c r="G24" s="49"/>
      <c r="H24" s="61"/>
      <c r="J24" s="1964" t="str">
        <f>IF(B5="x",IF(AUDITCHECK!D29="AFR form Incomplete.","",IF(AUDITCHECK!D29="Deficit reduction plan is required.","School District must complete a deficit reduction plan in the 2019-2020 Budget",)),"")</f>
        <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60548</v>
      </c>
      <c r="B25" s="1942"/>
      <c r="C25" s="1942"/>
      <c r="D25" s="1942"/>
      <c r="E25" s="1942"/>
      <c r="F25" s="1942"/>
      <c r="G25" s="1942"/>
      <c r="H25" s="1943"/>
      <c r="I25" s="113"/>
      <c r="J25" s="1966"/>
      <c r="K25" s="1966"/>
      <c r="L25" s="1966"/>
      <c r="M25" s="1966"/>
      <c r="N25" s="1966"/>
      <c r="O25" s="1966"/>
      <c r="P25" s="1966"/>
      <c r="Q25" s="1966"/>
      <c r="R25" s="1966"/>
      <c r="S25" s="1967"/>
      <c r="T25" s="2037" t="s">
        <v>2073</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2078</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2079</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2077</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2080</v>
      </c>
      <c r="B42" s="1961"/>
      <c r="C42" s="1962"/>
      <c r="D42" s="1960" t="s">
        <v>2081</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1949</v>
      </c>
      <c r="C2" s="714" t="s">
        <v>1950</v>
      </c>
      <c r="D2" s="714" t="s">
        <v>1951</v>
      </c>
      <c r="E2" s="714" t="s">
        <v>1952</v>
      </c>
      <c r="F2" s="714" t="s">
        <v>1953</v>
      </c>
    </row>
    <row r="3" spans="1:6" ht="12" customHeight="1" x14ac:dyDescent="0.2">
      <c r="A3" s="218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1954</v>
      </c>
      <c r="D2" s="723" t="s">
        <v>1955</v>
      </c>
      <c r="E2" s="723" t="s">
        <v>1956</v>
      </c>
      <c r="F2" s="1884" t="s">
        <v>1957</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1962</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0</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0</v>
      </c>
      <c r="I23" s="1758">
        <f>SUM(I14:I16,I21,I22)</f>
        <v>0</v>
      </c>
      <c r="J23" s="1758">
        <f>SUM(J14:J16,J21,J22)</f>
        <v>0</v>
      </c>
      <c r="K23" s="1758">
        <f>SUM(K14:K16,K21,K22)</f>
        <v>0</v>
      </c>
    </row>
    <row r="24" spans="1:11" ht="14.25" thickTop="1" thickBot="1" x14ac:dyDescent="0.25">
      <c r="A24" s="2248" t="s">
        <v>1963</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102964</v>
      </c>
      <c r="D5" s="841"/>
      <c r="E5" s="841"/>
      <c r="F5" s="1760">
        <f>(C5+D5)-E5</f>
        <v>102964</v>
      </c>
      <c r="G5" s="837"/>
      <c r="H5" s="842"/>
      <c r="I5" s="842"/>
      <c r="J5" s="842"/>
      <c r="K5" s="793"/>
      <c r="L5" s="1769">
        <f>F5-K5</f>
        <v>102964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3562716</v>
      </c>
      <c r="D8" s="844"/>
      <c r="E8" s="844"/>
      <c r="F8" s="1760">
        <f>(C8+D8)-E8</f>
        <v>3562716</v>
      </c>
      <c r="G8" s="843">
        <v>50</v>
      </c>
      <c r="H8" s="765">
        <v>1284248</v>
      </c>
      <c r="I8" s="765">
        <v>71474</v>
      </c>
      <c r="J8" s="765"/>
      <c r="K8" s="1769">
        <f>(H8+I8)-J8</f>
        <v>1355722</v>
      </c>
      <c r="L8" s="1769">
        <f>F8-K8</f>
        <v>2206994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183907</v>
      </c>
      <c r="D10" s="846"/>
      <c r="E10" s="846"/>
      <c r="F10" s="1764">
        <f>(C10+D10)-E10</f>
        <v>183907</v>
      </c>
      <c r="G10" s="843">
        <v>20</v>
      </c>
      <c r="H10" s="847">
        <v>107150</v>
      </c>
      <c r="I10" s="847">
        <v>5531</v>
      </c>
      <c r="J10" s="847"/>
      <c r="K10" s="1769">
        <f>(H10+I10)-J10</f>
        <v>112681</v>
      </c>
      <c r="L10" s="1769">
        <f>F10-K10</f>
        <v>71226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295711</v>
      </c>
      <c r="D12" s="844">
        <v>11099</v>
      </c>
      <c r="E12" s="844"/>
      <c r="F12" s="1760">
        <f>(C12+D12)-E12</f>
        <v>306810</v>
      </c>
      <c r="G12" s="843">
        <v>10</v>
      </c>
      <c r="H12" s="765">
        <v>216032</v>
      </c>
      <c r="I12" s="765">
        <v>20991</v>
      </c>
      <c r="J12" s="765"/>
      <c r="K12" s="1769">
        <f>(H12+I12)-J12</f>
        <v>237023</v>
      </c>
      <c r="L12" s="1769">
        <f>F12-K12</f>
        <v>69787</v>
      </c>
    </row>
    <row r="13" spans="1:14" ht="14.25" thickTop="1" thickBot="1" x14ac:dyDescent="0.25">
      <c r="A13" s="848" t="s">
        <v>1122</v>
      </c>
      <c r="B13" s="840">
        <v>252</v>
      </c>
      <c r="C13" s="844">
        <v>6100</v>
      </c>
      <c r="D13" s="844"/>
      <c r="E13" s="844"/>
      <c r="F13" s="1760">
        <f>(C13+D13)-E13</f>
        <v>6100</v>
      </c>
      <c r="G13" s="843">
        <v>5</v>
      </c>
      <c r="H13" s="765">
        <v>6100</v>
      </c>
      <c r="I13" s="765"/>
      <c r="J13" s="765"/>
      <c r="K13" s="1769">
        <f>(H13+I13)-J13</f>
        <v>6100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4151398</v>
      </c>
      <c r="D16" s="1760">
        <f>SUM(D3,D5:D6,D8:D10,D12:D15)</f>
        <v>11099</v>
      </c>
      <c r="E16" s="1760">
        <f>SUM(E3,E5:E6,E8:E10,E12:E15)</f>
        <v>0</v>
      </c>
      <c r="F16" s="1760">
        <f>SUM(F3,F5:F6,F8:F10,F12:F15)</f>
        <v>4162497</v>
      </c>
      <c r="G16" s="843"/>
      <c r="H16" s="1760">
        <f>SUM(H3,H6,H8:H10,H12:H14,)</f>
        <v>1613530</v>
      </c>
      <c r="I16" s="1760">
        <f>SUM(I3,I6,I8:I10,I12:I14,)</f>
        <v>97996</v>
      </c>
      <c r="J16" s="1760">
        <f>SUM(J3,J6,J8:J10,J12:J14,)</f>
        <v>0</v>
      </c>
      <c r="K16" s="1760">
        <f>(H16+I16)-J16</f>
        <v>1711526</v>
      </c>
      <c r="L16" s="1760">
        <f>F16-K16</f>
        <v>2450971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97996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8"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1993765</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1993765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11370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16972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28342</v>
      </c>
      <c r="G76" s="865"/>
    </row>
    <row r="77" spans="1:8" s="893" customFormat="1" ht="12" customHeight="1" thickTop="1" thickBot="1" x14ac:dyDescent="0.25">
      <c r="A77" s="1779"/>
      <c r="B77" s="1776"/>
      <c r="C77" s="1772"/>
      <c r="D77" s="1777" t="s">
        <v>1899</v>
      </c>
      <c r="E77" s="1774"/>
      <c r="F77" s="1780">
        <f>(F14-F76)</f>
        <v>1965423</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48405</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14414</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13210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294296</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44028</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415053</v>
      </c>
    </row>
    <row r="175" spans="1:7" ht="12" customHeight="1" x14ac:dyDescent="0.2">
      <c r="A175" s="1770"/>
      <c r="B175" s="1784"/>
      <c r="C175" s="1785"/>
      <c r="D175" s="1786" t="s">
        <v>2055</v>
      </c>
      <c r="E175" s="1787"/>
      <c r="F175" s="1789">
        <f>'PCTC-OEPP 27-28'!F77-F174</f>
        <v>1550370</v>
      </c>
    </row>
    <row r="176" spans="1:7" ht="12" customHeight="1" x14ac:dyDescent="0.2">
      <c r="A176" s="1770"/>
      <c r="B176" s="1784"/>
      <c r="C176" s="1785"/>
      <c r="D176" s="1786" t="s">
        <v>1817</v>
      </c>
      <c r="E176" s="1787"/>
      <c r="F176" s="1789">
        <f>'Cap Outlay Deprec 26'!I18</f>
        <v>97996</v>
      </c>
    </row>
    <row r="177" spans="1:7" ht="12" customHeight="1" x14ac:dyDescent="0.2">
      <c r="A177" s="1770"/>
      <c r="B177" s="1784"/>
      <c r="C177" s="1785"/>
      <c r="D177" s="1786" t="s">
        <v>2056</v>
      </c>
      <c r="E177" s="1787"/>
      <c r="F177" s="1789">
        <f>F175+F176</f>
        <v>1648366</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D22" sqref="D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2063</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1974</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2090</v>
      </c>
      <c r="B17" s="1939" t="s">
        <v>2095</v>
      </c>
      <c r="C17" s="1940" t="s">
        <v>2097</v>
      </c>
      <c r="D17" s="1844">
        <v>881</v>
      </c>
      <c r="E17" s="1540">
        <f t="shared" ref="E17:E141" si="0">IF(D17&lt;=25000,D17,IF(D17&gt;25000,25000,0))</f>
        <v>881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881</v>
      </c>
      <c r="G17" s="1793">
        <f>IF(F17=0,0,D17-F17)</f>
        <v>0</v>
      </c>
      <c r="H17" s="1647"/>
    </row>
    <row r="18" spans="1:8" x14ac:dyDescent="0.25">
      <c r="A18" s="1938" t="s">
        <v>2091</v>
      </c>
      <c r="B18" s="1939" t="s">
        <v>2095</v>
      </c>
      <c r="C18" s="1940" t="s">
        <v>2098</v>
      </c>
      <c r="D18" s="1844">
        <v>6400</v>
      </c>
      <c r="E18" s="1540">
        <f t="shared" ref="E18:E140" si="2">IF(D18&lt;=25000,D18,IF(D18&gt;25000,25000,0))</f>
        <v>6400</v>
      </c>
      <c r="F18" s="1932">
        <f t="shared" si="1"/>
        <v>6400</v>
      </c>
      <c r="G18" s="1793">
        <f t="shared" ref="G18:G140" si="3">IF(F18=0,0,D18-F18)</f>
        <v>0</v>
      </c>
    </row>
    <row r="19" spans="1:8" x14ac:dyDescent="0.25">
      <c r="A19" s="1938" t="s">
        <v>2092</v>
      </c>
      <c r="B19" s="1939" t="s">
        <v>2095</v>
      </c>
      <c r="C19" s="1940" t="s">
        <v>2099</v>
      </c>
      <c r="D19" s="1844">
        <v>32287</v>
      </c>
      <c r="E19" s="1540">
        <f t="shared" si="2"/>
        <v>25000</v>
      </c>
      <c r="F19" s="1932">
        <f t="shared" si="1"/>
        <v>25000</v>
      </c>
      <c r="G19" s="1793">
        <f t="shared" si="3"/>
        <v>7287</v>
      </c>
    </row>
    <row r="20" spans="1:8" x14ac:dyDescent="0.25">
      <c r="A20" s="1938" t="s">
        <v>2093</v>
      </c>
      <c r="B20" s="1939" t="s">
        <v>2095</v>
      </c>
      <c r="C20" s="1940" t="s">
        <v>2100</v>
      </c>
      <c r="D20" s="1844">
        <v>6904</v>
      </c>
      <c r="E20" s="1540">
        <f t="shared" si="2"/>
        <v>6904</v>
      </c>
      <c r="F20" s="1932">
        <f t="shared" si="1"/>
        <v>6904</v>
      </c>
      <c r="G20" s="1793">
        <f t="shared" si="3"/>
        <v>0</v>
      </c>
    </row>
    <row r="21" spans="1:8" x14ac:dyDescent="0.25">
      <c r="A21" s="1938" t="s">
        <v>2094</v>
      </c>
      <c r="B21" s="1939" t="s">
        <v>2096</v>
      </c>
      <c r="C21" s="1940" t="s">
        <v>2101</v>
      </c>
      <c r="D21" s="1844">
        <v>4916</v>
      </c>
      <c r="E21" s="1540">
        <f t="shared" si="2"/>
        <v>4916</v>
      </c>
      <c r="F21" s="1932">
        <f t="shared" si="1"/>
        <v>4916</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51388</v>
      </c>
      <c r="E141" s="1541">
        <f t="shared" si="0"/>
        <v>25000</v>
      </c>
      <c r="F141" s="1933">
        <f>SUM(F17:F140)</f>
        <v>44101</v>
      </c>
      <c r="G141" s="1795">
        <f>SUM(G17:G140)</f>
        <v>7287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1975</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1324903</v>
      </c>
      <c r="F19" s="1799"/>
      <c r="G19" s="1801">
        <f>'Expenditures 15-22'!K33-SUM('Expenditures 15-22'!G33,'Expenditures 15-22'!I33)+'Expenditures 15-22'!D229</f>
        <v>1324903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1040</v>
      </c>
      <c r="F22" s="1802"/>
      <c r="G22" s="1805">
        <f>'Expenditures 15-22'!K47-SUM('Expenditures 15-22'!G47,'Expenditures 15-22'!I47)+'Expenditures 15-22'!D243</f>
        <v>1040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294752</v>
      </c>
      <c r="F23" s="1802"/>
      <c r="G23" s="1804">
        <f>'Expenditures 15-22'!K53-SUM('Expenditures 15-22'!G53,'Expenditures 15-22'!I53)+'Expenditures 15-22'!D257+'Expenditures 15-22'!K330-SUM('Expenditures 15-22'!G330,'Expenditures 15-22'!I330)</f>
        <v>294752</v>
      </c>
      <c r="H23" s="987"/>
      <c r="I23" s="162"/>
    </row>
    <row r="24" spans="1:9" s="668" customFormat="1" ht="12" customHeight="1" x14ac:dyDescent="0.2">
      <c r="A24" s="994" t="s">
        <v>566</v>
      </c>
      <c r="B24" s="995"/>
      <c r="C24" s="993">
        <v>2400</v>
      </c>
      <c r="D24" s="1802"/>
      <c r="E24" s="1804">
        <f>'Expenditures 15-22'!K57-SUM('Expenditures 15-22'!G57,'Expenditures 15-22'!I57)+'Expenditures 15-22'!D261</f>
        <v>98458</v>
      </c>
      <c r="F24" s="1802"/>
      <c r="G24" s="1805">
        <f>'Expenditures 15-22'!K57-SUM('Expenditures 15-22'!G57,'Expenditures 15-22'!I57)+'Expenditures 15-22'!D261</f>
        <v>98458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59665</v>
      </c>
      <c r="E27" s="1804">
        <f>E8</f>
        <v>0</v>
      </c>
      <c r="F27" s="1804">
        <f>'Expenditures 15-22'!K60-SUM('Expenditures 15-22'!G60,'Expenditures 15-22'!I60)+'Expenditures 15-22'!D264-E8</f>
        <v>59665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194593</v>
      </c>
      <c r="F28" s="1806">
        <f>'Expenditures 15-22'!K61-SUM('Expenditures 15-22'!G61,'Expenditures 15-22'!I61)+'Expenditures 15-22'!K124-SUM('Expenditures 15-22'!G124,'Expenditures 15-22'!I124)+'Expenditures 15-22'!D266-E9</f>
        <v>194593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3382</v>
      </c>
      <c r="F35" s="1802"/>
      <c r="G35" s="1804">
        <f>'Expenditures 15-22'!K69-SUM('Expenditures 15-22'!G69,'Expenditures 15-22'!I69)+'Expenditures 15-22'!D274</f>
        <v>3382</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-7287</v>
      </c>
      <c r="F40" s="1802"/>
      <c r="G40" s="1806">
        <f>-'Contracts Paid in CY 29'!G141</f>
        <v>-7287</v>
      </c>
    </row>
    <row r="41" spans="1:7" ht="12" customHeight="1" x14ac:dyDescent="0.2">
      <c r="A41" s="998" t="s">
        <v>156</v>
      </c>
      <c r="B41" s="999"/>
      <c r="C41" s="1000"/>
      <c r="D41" s="1806">
        <f>SUM(D19:D39)</f>
        <v>59665</v>
      </c>
      <c r="E41" s="1806">
        <f>SUM(E19:E40)</f>
        <v>1909841</v>
      </c>
      <c r="F41" s="1806">
        <f>SUM(F19:F39)</f>
        <v>254258</v>
      </c>
      <c r="G41" s="1806">
        <f>SUM(G19:G40)</f>
        <v>1715248</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59665</v>
      </c>
      <c r="F43" s="1807" t="s">
        <v>473</v>
      </c>
      <c r="G43" s="1808">
        <f>F41</f>
        <v>254258</v>
      </c>
    </row>
    <row r="44" spans="1:7" ht="12" customHeight="1" x14ac:dyDescent="0.2">
      <c r="A44" s="987"/>
      <c r="B44" s="162"/>
      <c r="C44" s="1001"/>
      <c r="D44" s="1807" t="s">
        <v>474</v>
      </c>
      <c r="E44" s="1808">
        <f>E41</f>
        <v>1909841</v>
      </c>
      <c r="F44" s="1807" t="s">
        <v>474</v>
      </c>
      <c r="G44" s="1808">
        <f>G41</f>
        <v>1715248</v>
      </c>
    </row>
    <row r="45" spans="1:7" ht="12" customHeight="1" x14ac:dyDescent="0.2">
      <c r="A45" s="987"/>
      <c r="B45" s="162"/>
      <c r="C45" s="162"/>
      <c r="D45" s="1809" t="s">
        <v>1006</v>
      </c>
      <c r="E45" s="1810">
        <f>(E43/E44)</f>
        <v>3.124082057092711E-2</v>
      </c>
      <c r="F45" s="1809" t="s">
        <v>1006</v>
      </c>
      <c r="G45" s="1810">
        <f>(G43/G44)</f>
        <v>0.14823395800490657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28" activePane="bottomLeft" state="frozen"/>
      <selection activeCell="A47" sqref="A47"/>
      <selection pane="bottomLeft" activeCell="C45" sqref="C4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Indian Valley Area Voc Ctr</v>
      </c>
      <c r="D6" s="2308"/>
      <c r="E6" s="2308"/>
      <c r="F6" s="1852"/>
    </row>
    <row r="7" spans="1:10" ht="11.25" customHeight="1" thickBot="1" x14ac:dyDescent="0.3">
      <c r="A7" s="1850"/>
      <c r="B7" s="1851"/>
      <c r="C7" s="2309">
        <f>COVER!A13</f>
        <v>16019430040</v>
      </c>
      <c r="D7" s="2309"/>
      <c r="E7" s="2309"/>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2084</v>
      </c>
      <c r="H31" s="1878">
        <f t="shared" si="0"/>
        <v>5</v>
      </c>
      <c r="I31" s="1878">
        <f t="shared" si="1"/>
        <v>5</v>
      </c>
      <c r="J31" s="1878">
        <f t="shared" si="2"/>
        <v>0</v>
      </c>
      <c r="L31" s="1869"/>
    </row>
    <row r="32" spans="1:12" ht="12" customHeight="1" x14ac:dyDescent="0.2">
      <c r="A32" s="1863" t="s">
        <v>1540</v>
      </c>
      <c r="B32" s="1864"/>
      <c r="C32" s="1865" t="s">
        <v>2064</v>
      </c>
      <c r="D32" s="1865" t="s">
        <v>2064</v>
      </c>
      <c r="E32" s="1868"/>
      <c r="F32" s="1867" t="s">
        <v>2085</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t="s">
        <v>2086</v>
      </c>
      <c r="B41" s="2302"/>
      <c r="C41" s="2302"/>
      <c r="D41" s="2302"/>
      <c r="E41" s="2302"/>
      <c r="F41" s="2303"/>
      <c r="H41" s="1879"/>
      <c r="I41" s="1879"/>
      <c r="J41" s="1879"/>
      <c r="K41" s="1879"/>
    </row>
    <row r="42" spans="1:11" s="1870" customFormat="1" ht="12" customHeight="1" x14ac:dyDescent="0.25">
      <c r="A42" s="2301" t="s">
        <v>2087</v>
      </c>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3:F43"/>
    <mergeCell ref="A41:F41"/>
    <mergeCell ref="A42:F42"/>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1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Indian Valley Area Voc Ctr</v>
      </c>
      <c r="J6" s="2318"/>
      <c r="Q6" s="1664"/>
    </row>
    <row r="7" spans="1:17" x14ac:dyDescent="0.2">
      <c r="A7" s="2319" t="s">
        <v>869</v>
      </c>
      <c r="B7" s="2320"/>
      <c r="C7" s="2320"/>
      <c r="D7" s="2320"/>
      <c r="E7" s="2321"/>
      <c r="F7" s="1017"/>
      <c r="G7" s="1009"/>
      <c r="H7" s="1016" t="s">
        <v>372</v>
      </c>
      <c r="I7" s="2322">
        <f>COVER!A13</f>
        <v>16019430040</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215864</v>
      </c>
      <c r="F12" s="1039"/>
      <c r="G12" s="1811">
        <f t="shared" ref="G12:G18" si="0">SUM(E12:F12)</f>
        <v>215864</v>
      </c>
      <c r="H12" s="1040">
        <v>222791</v>
      </c>
      <c r="I12" s="1039"/>
      <c r="J12" s="1811">
        <f t="shared" ref="J12:J18" si="1">SUM(H12:I12)</f>
        <v>222791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215864</v>
      </c>
      <c r="F19" s="1813">
        <f t="shared" si="2"/>
        <v>0</v>
      </c>
      <c r="G19" s="1813">
        <f t="shared" si="2"/>
        <v>215864</v>
      </c>
      <c r="H19" s="1813">
        <f t="shared" si="2"/>
        <v>222791</v>
      </c>
      <c r="I19" s="1813">
        <f t="shared" si="2"/>
        <v>0</v>
      </c>
      <c r="J19" s="1813">
        <f t="shared" si="2"/>
        <v>222791</v>
      </c>
    </row>
    <row r="20" spans="1:10" ht="13.5" thickTop="1" x14ac:dyDescent="0.2">
      <c r="A20" s="1035">
        <v>9</v>
      </c>
      <c r="B20" s="2329" t="s">
        <v>1979</v>
      </c>
      <c r="C20" s="2329"/>
      <c r="D20" s="2330"/>
      <c r="E20" s="1046"/>
      <c r="F20" s="1046"/>
      <c r="G20" s="1046"/>
      <c r="H20" s="1046"/>
      <c r="I20" s="1046"/>
      <c r="J20" s="1814">
        <f>IF(AND(G19&gt;0,J19&gt;0),(((J19-G19)/G19)),"Enter Budget Data")</f>
        <v>3.208964903828336E-2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1981</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7" sqref="A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Indian Valley Area Voc Ctr</v>
      </c>
    </row>
    <row r="65" spans="2:2" x14ac:dyDescent="0.2">
      <c r="B65" s="1070">
        <f>COVER!A13</f>
        <v>16019430040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1:F2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21" spans="1:6" x14ac:dyDescent="0.2">
      <c r="B21" s="1071"/>
      <c r="C21" s="1071"/>
      <c r="D21" s="1071"/>
      <c r="E21" s="1071"/>
      <c r="F21" s="1071"/>
    </row>
    <row r="23" spans="1:6" x14ac:dyDescent="0.2">
      <c r="A23" s="1072" t="s">
        <v>1493</v>
      </c>
    </row>
    <row r="25" spans="1:6" x14ac:dyDescent="0.2">
      <c r="A25" s="389" t="s">
        <v>857</v>
      </c>
    </row>
    <row r="26" spans="1:6" s="1071" customFormat="1" ht="45" customHeight="1" x14ac:dyDescent="0.2">
      <c r="A26" s="1073"/>
      <c r="B26" s="1073" t="s">
        <v>1684</v>
      </c>
    </row>
    <row r="27" spans="1:6" ht="6" customHeight="1" x14ac:dyDescent="0.2"/>
    <row r="28" spans="1:6" ht="24.75" customHeight="1" x14ac:dyDescent="0.2">
      <c r="A28" s="2336" t="s">
        <v>1685</v>
      </c>
      <c r="B28" s="2336"/>
    </row>
  </sheetData>
  <sheetProtection selectLockedCells="1"/>
  <mergeCells count="1">
    <mergeCell ref="A28:B2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Exch.Document.DC" dvAspect="DVASPECT_ICON" shapeId="35842"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35842" r:id="rId6"/>
      </mc:Fallback>
    </mc:AlternateContent>
    <mc:AlternateContent xmlns:mc="http://schemas.openxmlformats.org/markup-compatibility/2006">
      <mc:Choice Requires="x14">
        <oleObject progId="AcroExch.Document.DC" dvAspect="DVASPECT_ICON" shapeId="35843"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35843" r:id="rId7"/>
      </mc:Fallback>
    </mc:AlternateContent>
    <mc:AlternateContent xmlns:mc="http://schemas.openxmlformats.org/markup-compatibility/2006">
      <mc:Choice Requires="x14">
        <oleObject progId="AcroExch.Document.DC" dvAspect="DVASPECT_ICON" shapeId="35845"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3584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1986</v>
      </c>
      <c r="B4" s="2357"/>
      <c r="C4" s="2357"/>
      <c r="D4" s="2357"/>
      <c r="E4" s="2357"/>
      <c r="F4" s="2358"/>
      <c r="G4" s="1074"/>
      <c r="H4" s="1074"/>
    </row>
    <row r="5" spans="1:8" ht="14.25" customHeight="1" x14ac:dyDescent="0.2">
      <c r="A5" s="2359" t="s">
        <v>1982</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1940961</v>
      </c>
      <c r="C8" s="1815">
        <f>'Acct Summary 7-8'!D8</f>
        <v>0</v>
      </c>
      <c r="D8" s="1815">
        <f>'Acct Summary 7-8'!F8</f>
        <v>0</v>
      </c>
      <c r="E8" s="1815">
        <f>'Acct Summary 7-8'!I8</f>
        <v>0</v>
      </c>
      <c r="F8" s="1815">
        <f>SUM(B8:E8)</f>
        <v>1940961</v>
      </c>
    </row>
    <row r="9" spans="1:8" s="1079" customFormat="1" ht="14.25" customHeight="1" thickBot="1" x14ac:dyDescent="0.25">
      <c r="A9" s="1078" t="s">
        <v>1369</v>
      </c>
      <c r="B9" s="1816">
        <f>'Acct Summary 7-8'!C17</f>
        <v>1993765</v>
      </c>
      <c r="C9" s="1816">
        <f>'Acct Summary 7-8'!D17</f>
        <v>0</v>
      </c>
      <c r="D9" s="1816">
        <f>'Acct Summary 7-8'!F17</f>
        <v>0</v>
      </c>
      <c r="E9" s="1815"/>
      <c r="F9" s="1815">
        <f>SUM(B9:E9)</f>
        <v>1993765</v>
      </c>
    </row>
    <row r="10" spans="1:8" s="1079" customFormat="1" ht="14.25" thickTop="1" thickBot="1" x14ac:dyDescent="0.25">
      <c r="A10" s="1080" t="s">
        <v>1370</v>
      </c>
      <c r="B10" s="1817">
        <f>(B8-B9)</f>
        <v>-52804</v>
      </c>
      <c r="C10" s="1817">
        <f>(C8-C9)</f>
        <v>0</v>
      </c>
      <c r="D10" s="1817">
        <f>(D8-D9)</f>
        <v>0</v>
      </c>
      <c r="E10" s="1816">
        <f>(E8-E9)</f>
        <v>0</v>
      </c>
      <c r="F10" s="1818">
        <f>SUM(F8-F9)</f>
        <v>-52804</v>
      </c>
    </row>
    <row r="11" spans="1:8" s="1079" customFormat="1" ht="14.25" thickTop="1" thickBot="1" x14ac:dyDescent="0.25">
      <c r="A11" s="1081" t="s">
        <v>1983</v>
      </c>
      <c r="B11" s="1819">
        <f>'Acct Summary 7-8'!C81</f>
        <v>292241</v>
      </c>
      <c r="C11" s="1819">
        <f>'Acct Summary 7-8'!D81</f>
        <v>0</v>
      </c>
      <c r="D11" s="1819">
        <f>'Acct Summary 7-8'!F81</f>
        <v>0</v>
      </c>
      <c r="E11" s="1819">
        <f>'Acct Summary 7-8'!I81</f>
        <v>0</v>
      </c>
      <c r="F11" s="1820">
        <f>SUM(B11:E11)</f>
        <v>292241</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2" colorId="8" zoomScale="110" zoomScaleNormal="110" workbookViewId="0">
      <selection activeCell="D29" sqref="D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16019430040</v>
      </c>
    </row>
    <row r="3" spans="1:2" x14ac:dyDescent="0.2">
      <c r="A3" t="s">
        <v>956</v>
      </c>
      <c r="B3" s="138" t="str">
        <f>COVER!A15</f>
        <v>DEKALB</v>
      </c>
    </row>
    <row r="4" spans="1:2" x14ac:dyDescent="0.2">
      <c r="A4" t="s">
        <v>1007</v>
      </c>
      <c r="B4" s="138" t="str">
        <f>COVER!A17</f>
        <v>Indian Valley Area Voc Ctr</v>
      </c>
    </row>
    <row r="5" spans="1:2" x14ac:dyDescent="0.2">
      <c r="A5" t="s">
        <v>704</v>
      </c>
      <c r="B5" s="138" t="str">
        <f>COVER!A38</f>
        <v>JOSEPH BARBIC</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292241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219469</v>
      </c>
      <c r="D92" s="2" t="str">
        <f t="shared" si="0"/>
        <v>Error?</v>
      </c>
    </row>
    <row r="93" spans="1:4" x14ac:dyDescent="0.2">
      <c r="A93" s="5">
        <v>32</v>
      </c>
      <c r="B93" s="138">
        <f>'Assets-Liab 5-6'!C41</f>
        <v>292241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102964</v>
      </c>
      <c r="D273" s="2" t="str">
        <f t="shared" si="3"/>
        <v>Error?</v>
      </c>
    </row>
    <row r="274" spans="1:4" x14ac:dyDescent="0.2">
      <c r="A274" s="5">
        <v>213</v>
      </c>
      <c r="B274" s="138">
        <f>'Assets-Liab 5-6'!M17</f>
        <v>2206994</v>
      </c>
      <c r="D274" s="2" t="str">
        <f t="shared" si="3"/>
        <v>Error?</v>
      </c>
    </row>
    <row r="275" spans="1:4" x14ac:dyDescent="0.2">
      <c r="A275" s="5">
        <v>214</v>
      </c>
      <c r="B275" s="138">
        <f>'Assets-Liab 5-6'!M18</f>
        <v>71226</v>
      </c>
      <c r="D275" s="2" t="str">
        <f t="shared" si="3"/>
        <v>Error?</v>
      </c>
    </row>
    <row r="276" spans="1:4" x14ac:dyDescent="0.2">
      <c r="A276" s="5">
        <v>215</v>
      </c>
      <c r="B276" s="138">
        <f>'Assets-Liab 5-6'!M19</f>
        <v>69787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2450971</v>
      </c>
      <c r="C279" s="2" t="s">
        <v>573</v>
      </c>
      <c r="D279" s="2" t="str">
        <f t="shared" si="3"/>
        <v>Error?</v>
      </c>
    </row>
    <row r="280" spans="1:4" x14ac:dyDescent="0.2">
      <c r="A280" s="5">
        <v>219</v>
      </c>
      <c r="B280" s="138">
        <f>'Assets-Liab 5-6'!M40</f>
        <v>2450971</v>
      </c>
      <c r="D280" s="2" t="str">
        <f t="shared" si="3"/>
        <v>Error?</v>
      </c>
    </row>
    <row r="281" spans="1:4" x14ac:dyDescent="0.2">
      <c r="A281" s="5">
        <v>220</v>
      </c>
      <c r="B281" s="138">
        <f>'Assets-Liab 5-6'!M41</f>
        <v>2450971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896389</v>
      </c>
      <c r="D717" s="2" t="str">
        <f t="shared" si="10"/>
        <v>Error?</v>
      </c>
    </row>
    <row r="718" spans="1:4" x14ac:dyDescent="0.2">
      <c r="A718" s="5">
        <v>657</v>
      </c>
      <c r="B718" s="138">
        <f>'Expenditures 15-22'!E14</f>
        <v>1198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931383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2921</v>
      </c>
      <c r="D732" s="2" t="str">
        <f t="shared" si="10"/>
        <v>Error?</v>
      </c>
    </row>
    <row r="733" spans="1:4" x14ac:dyDescent="0.2">
      <c r="A733" s="5">
        <v>672</v>
      </c>
      <c r="B733" s="138">
        <f>'Expenditures 15-22'!C50</f>
        <v>161095</v>
      </c>
      <c r="D733" s="2" t="str">
        <f t="shared" si="10"/>
        <v>Error?</v>
      </c>
    </row>
    <row r="734" spans="1:4" x14ac:dyDescent="0.2">
      <c r="A734" s="5">
        <v>673</v>
      </c>
      <c r="B734" s="138">
        <f>'Expenditures 15-22'!C53</f>
        <v>164016</v>
      </c>
      <c r="C734" s="2" t="s">
        <v>573</v>
      </c>
      <c r="D734" s="2" t="str">
        <f t="shared" si="10"/>
        <v>Error?</v>
      </c>
    </row>
    <row r="735" spans="1:4" x14ac:dyDescent="0.2">
      <c r="A735" s="5">
        <v>674</v>
      </c>
      <c r="B735" s="138">
        <f>'Expenditures 15-22'!C55</f>
        <v>75909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75909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44709</v>
      </c>
      <c r="D739" s="2" t="str">
        <f t="shared" si="10"/>
        <v>Error?</v>
      </c>
    </row>
    <row r="740" spans="1:4" x14ac:dyDescent="0.2">
      <c r="A740" s="5">
        <v>679</v>
      </c>
      <c r="B740" s="138">
        <f>'Expenditures 15-22'!C61</f>
        <v>45523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90232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3382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3382</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333539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1264922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123880</v>
      </c>
      <c r="D775" s="2" t="str">
        <f t="shared" si="11"/>
        <v>Error?</v>
      </c>
    </row>
    <row r="776" spans="1:4" x14ac:dyDescent="0.2">
      <c r="A776" s="5">
        <v>715</v>
      </c>
      <c r="B776" s="138">
        <f>'Expenditures 15-22'!D14</f>
        <v>176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127890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46551</v>
      </c>
      <c r="D791" s="2" t="str">
        <f t="shared" si="11"/>
        <v>Error?</v>
      </c>
    </row>
    <row r="792" spans="1:4" x14ac:dyDescent="0.2">
      <c r="A792" s="5">
        <v>731</v>
      </c>
      <c r="B792" s="138">
        <f>'Expenditures 15-22'!D53</f>
        <v>46551</v>
      </c>
      <c r="C792" s="2" t="s">
        <v>573</v>
      </c>
      <c r="D792" s="2" t="str">
        <f t="shared" si="11"/>
        <v>Error?</v>
      </c>
    </row>
    <row r="793" spans="1:4" x14ac:dyDescent="0.2">
      <c r="A793" s="5">
        <v>732</v>
      </c>
      <c r="B793" s="138">
        <f>'Expenditures 15-22'!D55</f>
        <v>21314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21314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14258</v>
      </c>
      <c r="D797" s="2" t="str">
        <f t="shared" si="11"/>
        <v>Error?</v>
      </c>
    </row>
    <row r="798" spans="1:4" x14ac:dyDescent="0.2">
      <c r="A798" s="5">
        <v>737</v>
      </c>
      <c r="B798" s="138">
        <f>'Expenditures 15-22'!D61</f>
        <v>15221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29479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97344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225234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12137</v>
      </c>
      <c r="D833" s="2" t="str">
        <f t="shared" si="12"/>
        <v>Error?</v>
      </c>
    </row>
    <row r="834" spans="1:4" x14ac:dyDescent="0.2">
      <c r="A834" s="5">
        <v>773</v>
      </c>
      <c r="B834" s="138" t="e">
        <f>'Expenditures 15-22'!#REF!</f>
        <v>#REF!</v>
      </c>
      <c r="D834" s="2" t="e">
        <f t="shared" si="12"/>
        <v>#REF!</v>
      </c>
    </row>
    <row r="835" spans="1:4" x14ac:dyDescent="0.2">
      <c r="A835" s="5">
        <v>774</v>
      </c>
      <c r="B835" s="138">
        <f>'Expenditures 15-22'!E15</f>
        <v>0</v>
      </c>
      <c r="D835" s="2" t="str">
        <f t="shared" si="12"/>
        <v>Error?</v>
      </c>
    </row>
    <row r="836" spans="1:4" x14ac:dyDescent="0.2">
      <c r="A836" s="5">
        <v>775</v>
      </c>
      <c r="B836" s="138">
        <f>'Expenditures 15-22'!E33</f>
        <v>13335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1040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1040</v>
      </c>
      <c r="C847" s="2" t="s">
        <v>573</v>
      </c>
      <c r="D847" s="2" t="str">
        <f t="shared" si="12"/>
        <v>Error?</v>
      </c>
    </row>
    <row r="848" spans="1:4" x14ac:dyDescent="0.2">
      <c r="A848" s="5">
        <v>787</v>
      </c>
      <c r="B848" s="138">
        <f>'Expenditures 15-22'!E49</f>
        <v>67287</v>
      </c>
      <c r="D848" s="2" t="str">
        <f t="shared" si="12"/>
        <v>Error?</v>
      </c>
    </row>
    <row r="849" spans="1:4" x14ac:dyDescent="0.2">
      <c r="A849" s="5">
        <v>788</v>
      </c>
      <c r="B849" s="138">
        <f>'Expenditures 15-22'!E50</f>
        <v>3099</v>
      </c>
      <c r="D849" s="2" t="str">
        <f t="shared" si="12"/>
        <v>Error?</v>
      </c>
    </row>
    <row r="850" spans="1:4" x14ac:dyDescent="0.2">
      <c r="A850" s="5">
        <v>789</v>
      </c>
      <c r="B850" s="138">
        <f>'Expenditures 15-22'!E53</f>
        <v>78055</v>
      </c>
      <c r="C850" s="2" t="s">
        <v>573</v>
      </c>
      <c r="D850" s="2" t="str">
        <f t="shared" si="12"/>
        <v>Error?</v>
      </c>
    </row>
    <row r="851" spans="1:4" x14ac:dyDescent="0.2">
      <c r="A851" s="5">
        <v>790</v>
      </c>
      <c r="B851" s="138">
        <f>'Expenditures 15-22'!E55</f>
        <v>434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364</v>
      </c>
      <c r="D855" s="2" t="str">
        <f t="shared" si="12"/>
        <v>Error?</v>
      </c>
    </row>
    <row r="856" spans="1:4" x14ac:dyDescent="0.2">
      <c r="A856" s="5">
        <v>795</v>
      </c>
      <c r="B856" s="138">
        <f>'Expenditures 15-22'!E61</f>
        <v>37598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37962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117491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130826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238713</v>
      </c>
      <c r="D891" s="2" t="str">
        <f t="shared" si="12"/>
        <v>Error?</v>
      </c>
    </row>
    <row r="892" spans="1:4" x14ac:dyDescent="0.2">
      <c r="A892" s="5">
        <v>831</v>
      </c>
      <c r="B892" s="138">
        <f>'Expenditures 15-22'!F14</f>
        <v>4000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242925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1865</v>
      </c>
      <c r="D906" s="2" t="str">
        <f t="shared" si="13"/>
        <v>Error?</v>
      </c>
    </row>
    <row r="907" spans="1:4" x14ac:dyDescent="0.2">
      <c r="A907" s="5">
        <v>846</v>
      </c>
      <c r="B907" s="138">
        <f>'Expenditures 15-22'!F50</f>
        <v>3790</v>
      </c>
      <c r="D907" s="2" t="str">
        <f t="shared" si="13"/>
        <v>Error?</v>
      </c>
    </row>
    <row r="908" spans="1:4" x14ac:dyDescent="0.2">
      <c r="A908" s="5">
        <v>847</v>
      </c>
      <c r="B908" s="138">
        <f>'Expenditures 15-22'!F53</f>
        <v>5655</v>
      </c>
      <c r="C908" s="2" t="s">
        <v>573</v>
      </c>
      <c r="D908" s="2" t="str">
        <f t="shared" si="13"/>
        <v>Error?</v>
      </c>
    </row>
    <row r="909" spans="1:4" x14ac:dyDescent="0.2">
      <c r="A909" s="5">
        <v>848</v>
      </c>
      <c r="B909" s="138">
        <f>'Expenditures 15-22'!F55</f>
        <v>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334</v>
      </c>
      <c r="D913" s="2" t="str">
        <f t="shared" si="13"/>
        <v>Error?</v>
      </c>
    </row>
    <row r="914" spans="1:4" x14ac:dyDescent="0.2">
      <c r="A914" s="5">
        <v>853</v>
      </c>
      <c r="B914" s="138">
        <f>'Expenditures 15-22'!F61</f>
        <v>96251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96585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102277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345202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8195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8195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1329</v>
      </c>
      <c r="D965" s="2" t="str">
        <f t="shared" si="14"/>
        <v>Error?</v>
      </c>
    </row>
    <row r="966" spans="1:4" x14ac:dyDescent="0.2">
      <c r="A966" s="5">
        <v>905</v>
      </c>
      <c r="B966" s="138">
        <f>'Expenditures 15-22'!G53</f>
        <v>1329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7448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7448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8777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16972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475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475</v>
      </c>
      <c r="C1024" s="2" t="s">
        <v>573</v>
      </c>
      <c r="D1024" s="2" t="str">
        <f t="shared" si="15"/>
        <v>Error?</v>
      </c>
    </row>
    <row r="1025" spans="1:4" x14ac:dyDescent="0.2">
      <c r="A1025" s="5">
        <v>964</v>
      </c>
      <c r="B1025" s="138">
        <f>'Expenditures 15-22'!H55</f>
        <v>764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1239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12609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13800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1279314</v>
      </c>
      <c r="C1105" s="2" t="s">
        <v>573</v>
      </c>
      <c r="D1105" s="2" t="str">
        <f t="shared" si="16"/>
        <v>Error?</v>
      </c>
    </row>
    <row r="1106" spans="1:4" x14ac:dyDescent="0.2">
      <c r="A1106" s="5">
        <v>1045</v>
      </c>
      <c r="B1106" s="138">
        <f>'Expenditures 15-22'!K14</f>
        <v>5374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1333098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1040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1040</v>
      </c>
      <c r="C1119" s="2" t="s">
        <v>573</v>
      </c>
      <c r="D1119" s="2" t="str">
        <f t="shared" si="16"/>
        <v>Error?</v>
      </c>
    </row>
    <row r="1120" spans="1:4" x14ac:dyDescent="0.2">
      <c r="A1120" s="5">
        <v>1059</v>
      </c>
      <c r="B1120" s="138">
        <f>'Expenditures 15-22'!K49</f>
        <v>72548</v>
      </c>
      <c r="C1120" s="2" t="s">
        <v>573</v>
      </c>
      <c r="D1120" s="2" t="str">
        <f t="shared" si="16"/>
        <v>Error?</v>
      </c>
    </row>
    <row r="1121" spans="1:4" x14ac:dyDescent="0.2">
      <c r="A1121" s="5">
        <v>1060</v>
      </c>
      <c r="B1121" s="138">
        <f>'Expenditures 15-22'!K50</f>
        <v>215864</v>
      </c>
      <c r="C1121" s="2" t="s">
        <v>573</v>
      </c>
      <c r="D1121" s="2" t="str">
        <f t="shared" si="16"/>
        <v>Error?</v>
      </c>
    </row>
    <row r="1122" spans="1:4" x14ac:dyDescent="0.2">
      <c r="A1122" s="5">
        <v>1061</v>
      </c>
      <c r="B1122" s="138">
        <f>'Expenditures 15-22'!K53</f>
        <v>296081</v>
      </c>
      <c r="C1122" s="2" t="s">
        <v>573</v>
      </c>
      <c r="D1122" s="2" t="str">
        <f t="shared" si="16"/>
        <v>Error?</v>
      </c>
    </row>
    <row r="1123" spans="1:4" x14ac:dyDescent="0.2">
      <c r="A1123" s="5">
        <v>1062</v>
      </c>
      <c r="B1123" s="138">
        <f>'Expenditures 15-22'!K55</f>
        <v>98458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98458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59665</v>
      </c>
      <c r="C1127" s="2" t="s">
        <v>573</v>
      </c>
      <c r="D1127" s="2" t="str">
        <f t="shared" si="16"/>
        <v>Error?</v>
      </c>
    </row>
    <row r="1128" spans="1:4" x14ac:dyDescent="0.2">
      <c r="A1128" s="5">
        <v>1067</v>
      </c>
      <c r="B1128" s="138">
        <f>'Expenditures 15-22'!K61</f>
        <v>202041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261706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3382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3382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660667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1993765</v>
      </c>
      <c r="C1152" s="2" t="s">
        <v>573</v>
      </c>
      <c r="D1152" s="2" t="str">
        <f t="shared" si="17"/>
        <v>Error?</v>
      </c>
    </row>
    <row r="1153" spans="1:4" x14ac:dyDescent="0.2">
      <c r="A1153" s="5">
        <v>1092</v>
      </c>
      <c r="B1153" s="138">
        <f>'Expenditures 15-22'!K115</f>
        <v>-52804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345045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292241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102964</v>
      </c>
      <c r="D2008" s="2" t="str">
        <f t="shared" si="30"/>
        <v>Error?</v>
      </c>
    </row>
    <row r="2009" spans="1:4" x14ac:dyDescent="0.2">
      <c r="A2009" s="5">
        <v>1948</v>
      </c>
      <c r="B2009" s="138">
        <f>'Cap Outlay Deprec 26'!C8</f>
        <v>3562716</v>
      </c>
      <c r="D2009" s="2" t="str">
        <f t="shared" si="30"/>
        <v>Error?</v>
      </c>
    </row>
    <row r="2010" spans="1:4" x14ac:dyDescent="0.2">
      <c r="A2010" s="5">
        <v>1949</v>
      </c>
      <c r="B2010" s="138">
        <f>'Cap Outlay Deprec 26'!C10</f>
        <v>183907</v>
      </c>
      <c r="D2010" s="2" t="str">
        <f t="shared" si="30"/>
        <v>Error?</v>
      </c>
    </row>
    <row r="2011" spans="1:4" x14ac:dyDescent="0.2">
      <c r="A2011" s="5">
        <v>1950</v>
      </c>
      <c r="B2011" s="138">
        <f>'Cap Outlay Deprec 26'!C12</f>
        <v>295711</v>
      </c>
      <c r="D2011" s="2" t="str">
        <f t="shared" si="30"/>
        <v>Error?</v>
      </c>
    </row>
    <row r="2012" spans="1:4" x14ac:dyDescent="0.2">
      <c r="A2012" s="5">
        <v>1951</v>
      </c>
      <c r="B2012" s="138">
        <f>'Cap Outlay Deprec 26'!C13</f>
        <v>6100</v>
      </c>
      <c r="D2012" s="2" t="str">
        <f t="shared" si="30"/>
        <v>Error?</v>
      </c>
    </row>
    <row r="2013" spans="1:4" x14ac:dyDescent="0.2">
      <c r="A2013" s="5">
        <v>1952</v>
      </c>
      <c r="B2013" s="138">
        <f>'Cap Outlay Deprec 26'!C16</f>
        <v>4151398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11099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11099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102964</v>
      </c>
      <c r="C2026" s="2" t="s">
        <v>573</v>
      </c>
      <c r="D2026" s="2" t="str">
        <f t="shared" si="30"/>
        <v>Error?</v>
      </c>
    </row>
    <row r="2027" spans="1:4" x14ac:dyDescent="0.2">
      <c r="A2027" s="5">
        <v>1966</v>
      </c>
      <c r="B2027" s="138">
        <f>'Cap Outlay Deprec 26'!F8</f>
        <v>3562716</v>
      </c>
      <c r="C2027" s="2" t="s">
        <v>573</v>
      </c>
      <c r="D2027" s="2" t="str">
        <f t="shared" si="30"/>
        <v>Error?</v>
      </c>
    </row>
    <row r="2028" spans="1:4" x14ac:dyDescent="0.2">
      <c r="A2028" s="5">
        <v>1967</v>
      </c>
      <c r="B2028" s="138">
        <f>'Cap Outlay Deprec 26'!F10</f>
        <v>183907</v>
      </c>
      <c r="C2028" s="2" t="s">
        <v>573</v>
      </c>
      <c r="D2028" s="2" t="str">
        <f t="shared" si="30"/>
        <v>Error?</v>
      </c>
    </row>
    <row r="2029" spans="1:4" x14ac:dyDescent="0.2">
      <c r="A2029" s="5">
        <v>1968</v>
      </c>
      <c r="B2029" s="138">
        <f>'Cap Outlay Deprec 26'!F12</f>
        <v>306810</v>
      </c>
      <c r="C2029" s="2" t="s">
        <v>573</v>
      </c>
      <c r="D2029" s="2" t="str">
        <f t="shared" si="30"/>
        <v>Error?</v>
      </c>
    </row>
    <row r="2030" spans="1:4" x14ac:dyDescent="0.2">
      <c r="A2030" s="5">
        <v>1969</v>
      </c>
      <c r="B2030" s="138">
        <f>'Cap Outlay Deprec 26'!F13</f>
        <v>6100</v>
      </c>
      <c r="C2030" s="2" t="s">
        <v>573</v>
      </c>
      <c r="D2030" s="2" t="str">
        <f t="shared" si="30"/>
        <v>Error?</v>
      </c>
    </row>
    <row r="2031" spans="1:4" x14ac:dyDescent="0.2">
      <c r="A2031" s="5">
        <v>1970</v>
      </c>
      <c r="B2031" s="138">
        <f>'Cap Outlay Deprec 26'!F16</f>
        <v>4162497</v>
      </c>
      <c r="C2031" s="2" t="s">
        <v>573</v>
      </c>
      <c r="D2031" s="2" t="str">
        <f t="shared" si="30"/>
        <v>Error?</v>
      </c>
    </row>
    <row r="2032" spans="1:4" x14ac:dyDescent="0.2">
      <c r="A2032" s="10">
        <v>1971</v>
      </c>
      <c r="D2032" s="2" t="str">
        <f t="shared" si="30"/>
        <v>OK</v>
      </c>
    </row>
    <row r="2033" spans="1:4" x14ac:dyDescent="0.2">
      <c r="A2033" s="5">
        <v>1972</v>
      </c>
      <c r="B2033" s="138">
        <f>'Cap Outlay Deprec 26'!H8</f>
        <v>1284248</v>
      </c>
      <c r="D2033" s="2" t="str">
        <f t="shared" si="30"/>
        <v>Error?</v>
      </c>
    </row>
    <row r="2034" spans="1:4" x14ac:dyDescent="0.2">
      <c r="A2034" s="5">
        <v>1973</v>
      </c>
      <c r="B2034" s="138">
        <f>'Cap Outlay Deprec 26'!H10</f>
        <v>107150</v>
      </c>
      <c r="D2034" s="2" t="str">
        <f t="shared" si="30"/>
        <v>Error?</v>
      </c>
    </row>
    <row r="2035" spans="1:4" x14ac:dyDescent="0.2">
      <c r="A2035" s="5">
        <v>1974</v>
      </c>
      <c r="B2035" s="138">
        <f>'Cap Outlay Deprec 26'!H12</f>
        <v>216032</v>
      </c>
      <c r="D2035" s="2" t="str">
        <f t="shared" si="30"/>
        <v>Error?</v>
      </c>
    </row>
    <row r="2036" spans="1:4" x14ac:dyDescent="0.2">
      <c r="A2036" s="5">
        <v>1975</v>
      </c>
      <c r="B2036" s="138">
        <f>'Cap Outlay Deprec 26'!H13</f>
        <v>6100</v>
      </c>
      <c r="D2036" s="2" t="str">
        <f t="shared" si="30"/>
        <v>Error?</v>
      </c>
    </row>
    <row r="2037" spans="1:4" x14ac:dyDescent="0.2">
      <c r="A2037" s="5">
        <v>1976</v>
      </c>
      <c r="B2037" s="138">
        <f>'Cap Outlay Deprec 26'!H16</f>
        <v>1613530</v>
      </c>
      <c r="C2037" s="2" t="s">
        <v>573</v>
      </c>
      <c r="D2037" s="2" t="str">
        <f t="shared" si="30"/>
        <v>Error?</v>
      </c>
    </row>
    <row r="2038" spans="1:4" x14ac:dyDescent="0.2">
      <c r="A2038" s="10">
        <v>1977</v>
      </c>
      <c r="D2038" s="2" t="str">
        <f t="shared" si="30"/>
        <v>OK</v>
      </c>
    </row>
    <row r="2039" spans="1:4" x14ac:dyDescent="0.2">
      <c r="A2039" s="5">
        <v>1978</v>
      </c>
      <c r="B2039" s="138">
        <f>'Cap Outlay Deprec 26'!I8</f>
        <v>71474</v>
      </c>
      <c r="D2039" s="2" t="str">
        <f t="shared" si="30"/>
        <v>Error?</v>
      </c>
    </row>
    <row r="2040" spans="1:4" x14ac:dyDescent="0.2">
      <c r="A2040" s="5">
        <v>1979</v>
      </c>
      <c r="B2040" s="138">
        <f>'Cap Outlay Deprec 26'!I10</f>
        <v>5531</v>
      </c>
      <c r="D2040" s="2" t="str">
        <f t="shared" si="30"/>
        <v>Error?</v>
      </c>
    </row>
    <row r="2041" spans="1:4" x14ac:dyDescent="0.2">
      <c r="A2041" s="5">
        <v>1980</v>
      </c>
      <c r="B2041" s="138">
        <f>'Cap Outlay Deprec 26'!I12</f>
        <v>20991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97996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1355722</v>
      </c>
      <c r="C2051" s="2" t="s">
        <v>573</v>
      </c>
      <c r="D2051" s="2" t="str">
        <f t="shared" si="31"/>
        <v>Error?</v>
      </c>
    </row>
    <row r="2052" spans="1:4" x14ac:dyDescent="0.2">
      <c r="A2052" s="5">
        <v>1991</v>
      </c>
      <c r="B2052" s="138">
        <f>'Cap Outlay Deprec 26'!K10</f>
        <v>112681</v>
      </c>
      <c r="C2052" s="2" t="s">
        <v>573</v>
      </c>
      <c r="D2052" s="2" t="str">
        <f t="shared" si="31"/>
        <v>Error?</v>
      </c>
    </row>
    <row r="2053" spans="1:4" x14ac:dyDescent="0.2">
      <c r="A2053" s="5">
        <v>1992</v>
      </c>
      <c r="B2053" s="138">
        <f>'Cap Outlay Deprec 26'!K12</f>
        <v>237023</v>
      </c>
      <c r="C2053" s="2" t="s">
        <v>573</v>
      </c>
      <c r="D2053" s="2" t="str">
        <f t="shared" si="31"/>
        <v>Error?</v>
      </c>
    </row>
    <row r="2054" spans="1:4" x14ac:dyDescent="0.2">
      <c r="A2054" s="5">
        <v>1993</v>
      </c>
      <c r="B2054" s="138">
        <f>'Cap Outlay Deprec 26'!K13</f>
        <v>6100</v>
      </c>
      <c r="C2054" s="2" t="s">
        <v>573</v>
      </c>
      <c r="D2054" s="2" t="str">
        <f t="shared" si="31"/>
        <v>Error?</v>
      </c>
    </row>
    <row r="2055" spans="1:4" x14ac:dyDescent="0.2">
      <c r="A2055" s="5">
        <v>1994</v>
      </c>
      <c r="B2055" s="138">
        <f>'Cap Outlay Deprec 26'!K16</f>
        <v>1711526</v>
      </c>
      <c r="C2055" s="2" t="s">
        <v>573</v>
      </c>
      <c r="D2055" s="2" t="str">
        <f t="shared" si="31"/>
        <v>Error?</v>
      </c>
    </row>
    <row r="2056" spans="1:4" x14ac:dyDescent="0.2">
      <c r="A2056" s="5">
        <v>1995</v>
      </c>
      <c r="B2056" s="138">
        <f>'Cap Outlay Deprec 26'!L5</f>
        <v>102964</v>
      </c>
      <c r="C2056" s="2" t="s">
        <v>573</v>
      </c>
      <c r="D2056" s="2" t="str">
        <f t="shared" si="31"/>
        <v>Error?</v>
      </c>
    </row>
    <row r="2057" spans="1:4" x14ac:dyDescent="0.2">
      <c r="A2057" s="5">
        <v>1996</v>
      </c>
      <c r="B2057" s="138">
        <f>'Cap Outlay Deprec 26'!L8</f>
        <v>2206994</v>
      </c>
      <c r="C2057" s="2" t="s">
        <v>573</v>
      </c>
      <c r="D2057" s="2" t="str">
        <f t="shared" si="31"/>
        <v>Error?</v>
      </c>
    </row>
    <row r="2058" spans="1:4" x14ac:dyDescent="0.2">
      <c r="A2058" s="5">
        <v>1997</v>
      </c>
      <c r="B2058" s="138">
        <f>'Cap Outlay Deprec 26'!L10</f>
        <v>71226</v>
      </c>
      <c r="C2058" s="2" t="s">
        <v>573</v>
      </c>
      <c r="D2058" s="2" t="str">
        <f t="shared" si="31"/>
        <v>Error?</v>
      </c>
    </row>
    <row r="2059" spans="1:4" x14ac:dyDescent="0.2">
      <c r="A2059" s="5">
        <v>1998</v>
      </c>
      <c r="B2059" s="138">
        <f>'Cap Outlay Deprec 26'!L12</f>
        <v>69787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2450971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72772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1602637</v>
      </c>
      <c r="C2551" s="2" t="s">
        <v>573</v>
      </c>
      <c r="D2551" s="2" t="str">
        <f t="shared" si="38"/>
        <v>Error?</v>
      </c>
    </row>
    <row r="2552" spans="1:4" x14ac:dyDescent="0.2">
      <c r="A2552" s="10">
        <v>2491</v>
      </c>
      <c r="D2552" s="2" t="str">
        <f t="shared" si="38"/>
        <v>OK</v>
      </c>
    </row>
    <row r="2553" spans="1:4" x14ac:dyDescent="0.2">
      <c r="A2553" s="5">
        <v>2492</v>
      </c>
      <c r="B2553" s="138">
        <f>'Acct Summary 7-8'!C6</f>
        <v>294296</v>
      </c>
      <c r="C2553" s="2" t="s">
        <v>573</v>
      </c>
      <c r="D2553" s="2" t="str">
        <f t="shared" si="38"/>
        <v>Error?</v>
      </c>
    </row>
    <row r="2554" spans="1:4" x14ac:dyDescent="0.2">
      <c r="A2554" s="5">
        <v>2493</v>
      </c>
      <c r="B2554" s="138">
        <f>'Acct Summary 7-8'!C7</f>
        <v>44028</v>
      </c>
      <c r="C2554" s="2" t="s">
        <v>573</v>
      </c>
      <c r="D2554" s="2" t="str">
        <f t="shared" si="38"/>
        <v>Error?</v>
      </c>
    </row>
    <row r="2555" spans="1:4" x14ac:dyDescent="0.2">
      <c r="A2555" s="5">
        <v>2494</v>
      </c>
      <c r="B2555" s="138">
        <f>'Acct Summary 7-8'!C8</f>
        <v>1940961</v>
      </c>
      <c r="C2555" s="2" t="s">
        <v>573</v>
      </c>
      <c r="D2555" s="2" t="str">
        <f t="shared" si="38"/>
        <v>Error?</v>
      </c>
    </row>
    <row r="2556" spans="1:4" x14ac:dyDescent="0.2">
      <c r="A2556" s="5">
        <v>2495</v>
      </c>
      <c r="B2556" s="138">
        <f>'Acct Summary 7-8'!C12</f>
        <v>1333098</v>
      </c>
      <c r="C2556" s="2" t="s">
        <v>573</v>
      </c>
      <c r="D2556" s="2" t="str">
        <f t="shared" si="38"/>
        <v>Error?</v>
      </c>
    </row>
    <row r="2557" spans="1:4" x14ac:dyDescent="0.2">
      <c r="A2557" s="5">
        <v>2496</v>
      </c>
      <c r="B2557" s="138">
        <f>'Acct Summary 7-8'!C13</f>
        <v>660667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1993765</v>
      </c>
      <c r="C2561" s="2" t="s">
        <v>573</v>
      </c>
      <c r="D2561" s="2" t="str">
        <f t="shared" si="39"/>
        <v>Error?</v>
      </c>
    </row>
    <row r="2562" spans="1:4" x14ac:dyDescent="0.2">
      <c r="A2562" s="5">
        <v>2501</v>
      </c>
      <c r="B2562" s="138">
        <f>'Acct Summary 7-8'!C20</f>
        <v>-52804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6171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6171</v>
      </c>
      <c r="D2914" s="2" t="str">
        <f t="shared" si="44"/>
        <v>Error?</v>
      </c>
    </row>
    <row r="2915" spans="1:4" x14ac:dyDescent="0.2">
      <c r="A2915" s="10">
        <v>2854</v>
      </c>
      <c r="D2915" s="2" t="str">
        <f t="shared" si="44"/>
        <v>OK</v>
      </c>
    </row>
    <row r="2916" spans="1:4" x14ac:dyDescent="0.2">
      <c r="A2916" s="5">
        <v>2855</v>
      </c>
      <c r="B2916" s="138">
        <f>'Assets-Liab 5-6'!L34</f>
        <v>6171</v>
      </c>
      <c r="C2916" s="2" t="s">
        <v>573</v>
      </c>
      <c r="D2916" s="2" t="str">
        <f t="shared" si="44"/>
        <v>Error?</v>
      </c>
    </row>
    <row r="2917" spans="1:4" x14ac:dyDescent="0.2">
      <c r="A2917" s="5">
        <v>2856</v>
      </c>
      <c r="B2917" s="138">
        <f>'Assets-Liab 5-6'!L41</f>
        <v>6171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19705</v>
      </c>
      <c r="D3055" s="2" t="str">
        <f t="shared" si="46"/>
        <v>Error?</v>
      </c>
    </row>
    <row r="3056" spans="1:4" x14ac:dyDescent="0.2">
      <c r="A3056" s="5">
        <v>2995</v>
      </c>
      <c r="B3056" s="138">
        <f>'Expenditures 15-22'!D10</f>
        <v>3440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23240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-52804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292241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6171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119204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2060165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119204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2112969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292241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44028</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1408691</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1408691</v>
      </c>
      <c r="C5087" s="2" t="s">
        <v>573</v>
      </c>
      <c r="D5087" s="2" t="str">
        <f t="shared" si="78"/>
        <v>Error?</v>
      </c>
    </row>
    <row r="5088" spans="1:4" x14ac:dyDescent="0.2">
      <c r="A5088" s="5">
        <v>5027</v>
      </c>
      <c r="B5088" s="138">
        <f>'Revenues 9-14'!C65</f>
        <v>7469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48405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48405</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14414</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14414</v>
      </c>
      <c r="C5112" s="2" t="s">
        <v>573</v>
      </c>
      <c r="D5112" s="2" t="str">
        <f t="shared" si="78"/>
        <v>Error?</v>
      </c>
    </row>
    <row r="5113" spans="1:4" x14ac:dyDescent="0.2">
      <c r="A5113" s="5">
        <v>5052</v>
      </c>
      <c r="B5113" s="138">
        <f>'Revenues 9-14'!C95</f>
        <v>700</v>
      </c>
      <c r="D5113" s="2" t="str">
        <f t="shared" si="78"/>
        <v>Error?</v>
      </c>
    </row>
    <row r="5114" spans="1:4" x14ac:dyDescent="0.2">
      <c r="A5114" s="5">
        <v>5053</v>
      </c>
      <c r="B5114" s="138">
        <f>'Revenues 9-14'!C96</f>
        <v>15715</v>
      </c>
      <c r="D5114" s="2" t="str">
        <f t="shared" si="78"/>
        <v>Error?</v>
      </c>
    </row>
    <row r="5115" spans="1:4" x14ac:dyDescent="0.2">
      <c r="A5115" s="5">
        <v>5054</v>
      </c>
      <c r="B5115" s="138">
        <f>'Revenues 9-14'!C98</f>
        <v>13210</v>
      </c>
      <c r="D5115" s="2" t="str">
        <f t="shared" si="78"/>
        <v>Error?</v>
      </c>
    </row>
    <row r="5116" spans="1:4" x14ac:dyDescent="0.2">
      <c r="A5116" s="5">
        <v>5055</v>
      </c>
      <c r="B5116" s="138">
        <f>'Revenues 9-14'!C99</f>
        <v>-51</v>
      </c>
      <c r="D5116" s="2" t="str">
        <f t="shared" si="78"/>
        <v>Error?</v>
      </c>
    </row>
    <row r="5117" spans="1:4" x14ac:dyDescent="0.2">
      <c r="A5117" s="5">
        <v>5056</v>
      </c>
      <c r="B5117" s="138">
        <f>'Revenues 9-14'!C105</f>
        <v>69052</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25032</v>
      </c>
      <c r="D5119" s="2" t="str">
        <f t="shared" ref="D5119:D5182" si="79">IF(ISBLANK(B5119),"OK",IF(A5119-B5119=0,"OK","Error?"))</f>
        <v>Error?</v>
      </c>
    </row>
    <row r="5120" spans="1:4" x14ac:dyDescent="0.2">
      <c r="A5120" s="5">
        <v>5059</v>
      </c>
      <c r="B5120" s="138">
        <f>'Revenues 9-14'!C108</f>
        <v>123658</v>
      </c>
      <c r="C5120" s="2" t="s">
        <v>573</v>
      </c>
      <c r="D5120" s="2" t="str">
        <f t="shared" si="79"/>
        <v>Error?</v>
      </c>
    </row>
    <row r="5121" spans="1:4" x14ac:dyDescent="0.2">
      <c r="A5121" s="5">
        <v>5060</v>
      </c>
      <c r="B5121" s="138">
        <f>'Revenues 9-14'!C109</f>
        <v>1602637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294296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294296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294296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294296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44028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44028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44028</v>
      </c>
      <c r="C5326" s="2" t="s">
        <v>573</v>
      </c>
      <c r="D5326" s="2" t="str">
        <f t="shared" si="82"/>
        <v>Error?</v>
      </c>
    </row>
    <row r="5327" spans="1:5" x14ac:dyDescent="0.2">
      <c r="A5327" s="5">
        <v>5266</v>
      </c>
      <c r="B5327" s="138">
        <f>'Revenues 9-14'!C268</f>
        <v>1940961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-52804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-0.18068648820665137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11370</v>
      </c>
      <c r="D6890" s="2" t="str">
        <f t="shared" si="106"/>
        <v>Error?</v>
      </c>
    </row>
    <row r="6891" spans="1:4" x14ac:dyDescent="0.2">
      <c r="A6891">
        <v>6830</v>
      </c>
      <c r="B6891" s="138">
        <f>'Expenditures 15-22'!K27</f>
        <v>11370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7669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7669</v>
      </c>
      <c r="D6940" s="2" t="str">
        <f t="shared" si="107"/>
        <v>Error?</v>
      </c>
    </row>
    <row r="6941" spans="1:4" x14ac:dyDescent="0.2">
      <c r="A6941">
        <v>6880</v>
      </c>
      <c r="B6941" s="138">
        <f>'Expenditures 15-22'!L52</f>
        <v>9499</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97996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51388</v>
      </c>
      <c r="D7797" s="2" t="str">
        <f t="shared" si="127"/>
        <v>Error?</v>
      </c>
      <c r="E7797" s="4" t="s">
        <v>1903</v>
      </c>
    </row>
    <row r="7798" spans="1:5" x14ac:dyDescent="0.2">
      <c r="A7798">
        <v>7737</v>
      </c>
      <c r="B7798" s="138">
        <f>'Contracts Paid in CY 29'!F141</f>
        <v>44101</v>
      </c>
      <c r="D7798" s="2" t="str">
        <f t="shared" si="127"/>
        <v>Error?</v>
      </c>
      <c r="E7798" s="4" t="s">
        <v>1903</v>
      </c>
    </row>
    <row r="7799" spans="1:5" x14ac:dyDescent="0.2">
      <c r="A7799">
        <v>7738</v>
      </c>
      <c r="B7799" s="138">
        <f>'Contracts Paid in CY 29'!G141</f>
        <v>7287</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1987</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Indian Valley Area Voc Ctr</v>
      </c>
      <c r="B7" s="2385"/>
      <c r="C7" s="2385"/>
      <c r="D7" s="2422"/>
      <c r="E7" s="2423">
        <f>COVER!A13</f>
        <v>16019430040</v>
      </c>
      <c r="F7" s="2424"/>
      <c r="G7" s="2391" t="str">
        <f>COVER!T23</f>
        <v>066-005100</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Mack &amp; Associates, P.C.</v>
      </c>
      <c r="H9" s="2398"/>
      <c r="I9" s="2398"/>
      <c r="J9" s="2398"/>
      <c r="K9" s="2398"/>
      <c r="L9" s="2399"/>
    </row>
    <row r="10" spans="1:29" ht="13.5" customHeight="1" x14ac:dyDescent="0.2">
      <c r="A10" s="2381" t="str">
        <f>COVER!A38</f>
        <v>JOSEPH BARBIC</v>
      </c>
      <c r="B10" s="2382"/>
      <c r="C10" s="2382"/>
      <c r="D10" s="2382"/>
      <c r="E10" s="2382"/>
      <c r="F10" s="2383"/>
      <c r="G10" s="2397" t="str">
        <f>COVER!T17</f>
        <v>116 E. Washington St., Suite One</v>
      </c>
      <c r="H10" s="2410"/>
      <c r="I10" s="2410"/>
      <c r="J10" s="2410"/>
      <c r="K10" s="2410"/>
      <c r="L10" s="2411"/>
    </row>
    <row r="11" spans="1:29" ht="13.5" customHeight="1" x14ac:dyDescent="0.2">
      <c r="A11" s="1184" t="s">
        <v>1519</v>
      </c>
      <c r="B11" s="1185"/>
      <c r="C11" s="1186"/>
      <c r="D11" s="1191"/>
      <c r="E11" s="1186"/>
      <c r="F11" s="1190"/>
      <c r="G11" s="2397" t="str">
        <f>COVER!T19</f>
        <v>Morris</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tmack@mackcpas.com</v>
      </c>
      <c r="J13" s="2419"/>
      <c r="K13" s="2419"/>
      <c r="L13" s="2420"/>
    </row>
    <row r="14" spans="1:29" ht="13.5" customHeight="1" x14ac:dyDescent="0.2">
      <c r="A14" s="2397" t="str">
        <f>COVER!A19</f>
        <v>600 EAST LIONS ROAD</v>
      </c>
      <c r="B14" s="2410"/>
      <c r="C14" s="2410"/>
      <c r="D14" s="2410"/>
      <c r="E14" s="2410"/>
      <c r="F14" s="2411"/>
      <c r="G14" s="1195" t="s">
        <v>1185</v>
      </c>
      <c r="H14" s="1193"/>
      <c r="I14" s="1193"/>
      <c r="J14" s="1193"/>
      <c r="K14" s="1193"/>
      <c r="L14" s="1194"/>
    </row>
    <row r="15" spans="1:29" ht="13.5" customHeight="1" x14ac:dyDescent="0.2">
      <c r="A15" s="2397" t="str">
        <f>COVER!A21</f>
        <v>SANDWICH</v>
      </c>
      <c r="B15" s="2410"/>
      <c r="C15" s="2410"/>
      <c r="D15" s="2410"/>
      <c r="E15" s="2410"/>
      <c r="F15" s="2411"/>
      <c r="G15" s="2407" t="str">
        <f>COVER!T15</f>
        <v>Tawnya Mack, CPA</v>
      </c>
      <c r="H15" s="2408"/>
      <c r="I15" s="2408"/>
      <c r="J15" s="2408"/>
      <c r="K15" s="2408"/>
      <c r="L15" s="2409"/>
    </row>
    <row r="16" spans="1:29" ht="12.2" customHeight="1" x14ac:dyDescent="0.2">
      <c r="A16" s="2387">
        <f>COVER!A25</f>
        <v>60548</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815-942-3306</v>
      </c>
      <c r="H18" s="2385"/>
      <c r="I18" s="2385"/>
      <c r="J18" s="2385"/>
      <c r="K18" s="2384" t="str">
        <f>COVER!X21</f>
        <v>815-942-9430</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Indian Valley Area Voc Ctr</v>
      </c>
      <c r="B1" s="2421"/>
      <c r="C1" s="2421"/>
      <c r="D1" s="2421"/>
    </row>
    <row r="2" spans="1:11" s="1212" customFormat="1" ht="12.75" x14ac:dyDescent="0.2">
      <c r="A2" s="2426">
        <f>'Single Audit Cover'!E7</f>
        <v>16019430040</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Indian Valley Area Voc Ctr</v>
      </c>
      <c r="B1" s="2429"/>
      <c r="C1" s="2429"/>
      <c r="D1" s="2429"/>
      <c r="E1" s="2429"/>
    </row>
    <row r="2" spans="1:5" x14ac:dyDescent="0.2">
      <c r="A2" s="2430">
        <f>'Single Audit Cover'!E7</f>
        <v>16019430040</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44028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44028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44028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44028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Indian Valley Area Voc Ctr</v>
      </c>
      <c r="C1" s="2433"/>
      <c r="D1" s="2433"/>
      <c r="E1" s="2433"/>
      <c r="F1" s="2433"/>
      <c r="G1" s="2433"/>
      <c r="H1" s="2433"/>
      <c r="I1" s="2433"/>
      <c r="J1" s="2433"/>
      <c r="K1" s="2433"/>
      <c r="L1" s="2433"/>
      <c r="M1" s="2433"/>
    </row>
    <row r="2" spans="2:14" ht="15" x14ac:dyDescent="0.2">
      <c r="B2" s="2434">
        <f>'Single Audit Cover'!E7</f>
        <v>16019430040</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Indian Valley Area Voc Ctr</v>
      </c>
      <c r="B1" s="2438"/>
      <c r="C1" s="2438"/>
      <c r="D1" s="2438"/>
      <c r="E1" s="2438"/>
      <c r="F1" s="2438"/>
    </row>
    <row r="2" spans="1:7" ht="13.5" customHeight="1" x14ac:dyDescent="0.2">
      <c r="A2" s="2434">
        <f>'Single Audit Cover'!E7</f>
        <v>16019430040</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3" colorId="8" zoomScale="110" zoomScaleNormal="110" workbookViewId="0">
      <selection activeCell="E118" sqref="E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t="s">
        <v>2083</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Indian Valley Area Voc Ctr</v>
      </c>
      <c r="C1" s="2454"/>
      <c r="D1" s="2454"/>
      <c r="E1" s="2454"/>
      <c r="F1" s="2454"/>
      <c r="G1" s="2454"/>
      <c r="H1" s="2454"/>
      <c r="I1" s="2454"/>
      <c r="J1" s="1406"/>
    </row>
    <row r="2" spans="2:10" s="317" customFormat="1" ht="12.75" customHeight="1" x14ac:dyDescent="0.2">
      <c r="B2" s="2455">
        <f>'Single Audit Cover'!E7</f>
        <v>16019430040</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2062</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Indian Valley Area Voc Ctr</v>
      </c>
      <c r="C1" s="2453"/>
      <c r="D1" s="2453"/>
      <c r="E1" s="2453"/>
      <c r="F1" s="2453"/>
      <c r="G1" s="2453"/>
      <c r="H1" s="2453"/>
      <c r="I1" s="2453"/>
      <c r="J1" s="2453"/>
      <c r="K1" s="2453"/>
      <c r="L1" s="1371"/>
      <c r="M1" s="1371"/>
    </row>
    <row r="2" spans="1:13" ht="12" customHeight="1" x14ac:dyDescent="0.2">
      <c r="B2" s="2455">
        <f>'Single Audit Cover'!E7</f>
        <v>16019430040</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Indian Valley Area Voc Ctr</v>
      </c>
      <c r="C1" s="2480"/>
      <c r="D1" s="2480"/>
      <c r="E1" s="2480"/>
      <c r="F1" s="2480"/>
      <c r="G1" s="2480"/>
      <c r="H1" s="2480"/>
      <c r="I1" s="2480"/>
      <c r="J1" s="2480"/>
      <c r="K1" s="2480"/>
      <c r="L1" s="1449"/>
    </row>
    <row r="2" spans="1:12" ht="12.75" customHeight="1" x14ac:dyDescent="0.2">
      <c r="B2" s="2481">
        <f>'Single Audit Cover'!E7</f>
        <v>16019430040</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Indian Valley Area Voc Ctr</v>
      </c>
      <c r="C1" s="2453"/>
      <c r="D1" s="2453"/>
      <c r="E1" s="1469"/>
    </row>
    <row r="2" spans="2:5" s="1279" customFormat="1" ht="12.75" customHeight="1" x14ac:dyDescent="0.2">
      <c r="B2" s="2455">
        <f>'Single Audit Cover'!E7</f>
        <v>16019430040</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5" colorId="8" zoomScale="110" zoomScaleNormal="110" workbookViewId="0">
      <selection activeCell="O10" sqref="O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1940961</v>
      </c>
      <c r="E16" s="356"/>
      <c r="F16" s="1733">
        <f>SUM('Acct Summary 7-8'!C17,'Acct Summary 7-8'!D17,'Acct Summary 7-8'!F17)</f>
        <v>1993765</v>
      </c>
      <c r="G16" s="356"/>
      <c r="H16" s="1733">
        <f>SUM(D16-F16)</f>
        <v>-52804</v>
      </c>
      <c r="I16" s="222"/>
      <c r="J16" s="1733">
        <f>SUM('Acct Summary 7-8'!C81,'Acct Summary 7-8'!D81,'Acct Summary 7-8'!F81,'Acct Summary 7-8'!I81)</f>
        <v>292241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F38" sqref="F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Indian Valley Area Voc Ctr</v>
      </c>
      <c r="E7" s="391"/>
      <c r="G7" s="252"/>
      <c r="H7" s="387"/>
      <c r="I7" s="387"/>
      <c r="J7" s="387"/>
      <c r="K7" s="387"/>
      <c r="L7" s="329"/>
      <c r="M7" s="329"/>
      <c r="N7" s="329"/>
      <c r="O7" s="329"/>
      <c r="P7" s="329"/>
    </row>
    <row r="8" spans="1:18" ht="12.75" x14ac:dyDescent="0.2">
      <c r="A8" s="329"/>
      <c r="B8" s="329"/>
      <c r="C8" s="389" t="s">
        <v>1125</v>
      </c>
      <c r="D8" s="392">
        <f>COVER!A13</f>
        <v>16019430040</v>
      </c>
      <c r="E8" s="393"/>
      <c r="G8" s="329"/>
      <c r="H8" s="329"/>
      <c r="I8" s="329"/>
      <c r="J8" s="329"/>
      <c r="K8" s="329"/>
      <c r="L8" s="329"/>
      <c r="M8" s="329"/>
      <c r="N8" s="329"/>
      <c r="O8" s="329"/>
      <c r="P8" s="329"/>
    </row>
    <row r="9" spans="1:18" ht="12.75" x14ac:dyDescent="0.2">
      <c r="A9" s="329"/>
      <c r="B9" s="329"/>
      <c r="C9" s="389" t="s">
        <v>713</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292241</v>
      </c>
      <c r="I12" s="404"/>
      <c r="J12" s="404"/>
      <c r="K12" s="405">
        <f>TRUNC((H12/H13*100000),5)/100000</f>
        <v>0.1505651066</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1940961</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1993765</v>
      </c>
      <c r="I17" s="404"/>
      <c r="J17" s="416"/>
      <c r="K17" s="405">
        <f>TRUNC((H17/H18*100000),5)/100000</f>
        <v>1.0272050802999999</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1940961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1.8586640999999999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292241</v>
      </c>
      <c r="I24" s="422"/>
      <c r="J24" s="422"/>
      <c r="K24" s="423">
        <f>TRUNC(((H24/H25*100000)/100000),2)</f>
        <v>52.76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5538.2361099999998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24"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292241</v>
      </c>
      <c r="D4" s="466"/>
      <c r="E4" s="466"/>
      <c r="F4" s="466"/>
      <c r="G4" s="466"/>
      <c r="H4" s="466"/>
      <c r="I4" s="466"/>
      <c r="J4" s="467"/>
      <c r="K4" s="466"/>
      <c r="L4" s="466">
        <v>6171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292241</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6171</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78">
        <v>102964</v>
      </c>
      <c r="N16" s="484"/>
    </row>
    <row r="17" spans="1:14" s="485" customFormat="1" ht="12.75" customHeight="1" x14ac:dyDescent="0.2">
      <c r="A17" s="482" t="s">
        <v>1403</v>
      </c>
      <c r="B17" s="483">
        <v>230</v>
      </c>
      <c r="C17" s="477"/>
      <c r="D17" s="477"/>
      <c r="E17" s="477"/>
      <c r="F17" s="477"/>
      <c r="G17" s="477"/>
      <c r="H17" s="477"/>
      <c r="I17" s="477"/>
      <c r="J17" s="477"/>
      <c r="K17" s="477"/>
      <c r="L17" s="477"/>
      <c r="M17" s="467">
        <v>2206994</v>
      </c>
      <c r="N17" s="484"/>
    </row>
    <row r="18" spans="1:14" s="485" customFormat="1" ht="12.75" customHeight="1" x14ac:dyDescent="0.2">
      <c r="A18" s="482" t="s">
        <v>1404</v>
      </c>
      <c r="B18" s="483">
        <v>240</v>
      </c>
      <c r="C18" s="477"/>
      <c r="D18" s="477"/>
      <c r="E18" s="477"/>
      <c r="F18" s="477"/>
      <c r="G18" s="477"/>
      <c r="H18" s="477"/>
      <c r="I18" s="477"/>
      <c r="J18" s="477"/>
      <c r="K18" s="477"/>
      <c r="L18" s="477"/>
      <c r="M18" s="467">
        <v>71226</v>
      </c>
      <c r="N18" s="484"/>
    </row>
    <row r="19" spans="1:14" s="485" customFormat="1" ht="12.75" customHeight="1" x14ac:dyDescent="0.2">
      <c r="A19" s="482" t="s">
        <v>1405</v>
      </c>
      <c r="B19" s="483">
        <v>250</v>
      </c>
      <c r="C19" s="477"/>
      <c r="D19" s="477"/>
      <c r="E19" s="477"/>
      <c r="F19" s="477"/>
      <c r="G19" s="477"/>
      <c r="H19" s="477"/>
      <c r="I19" s="477"/>
      <c r="J19" s="477"/>
      <c r="K19" s="477"/>
      <c r="L19" s="477"/>
      <c r="M19" s="467">
        <v>69787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2450971</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6171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6171</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72772</v>
      </c>
      <c r="D38" s="466"/>
      <c r="E38" s="466"/>
      <c r="F38" s="466"/>
      <c r="G38" s="466"/>
      <c r="H38" s="466"/>
      <c r="I38" s="466"/>
      <c r="J38" s="467"/>
      <c r="K38" s="466"/>
      <c r="L38" s="481"/>
      <c r="M38" s="497"/>
      <c r="N38" s="497"/>
    </row>
    <row r="39" spans="1:14" s="329" customFormat="1" ht="13.5" customHeight="1" x14ac:dyDescent="0.2">
      <c r="A39" s="496" t="s">
        <v>342</v>
      </c>
      <c r="B39" s="483">
        <v>730</v>
      </c>
      <c r="C39" s="466">
        <v>219469</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2450971</v>
      </c>
      <c r="N40" s="497"/>
    </row>
    <row r="41" spans="1:14" ht="13.5" customHeight="1" thickBot="1" x14ac:dyDescent="0.25">
      <c r="A41" s="1736" t="s">
        <v>655</v>
      </c>
      <c r="B41" s="1706"/>
      <c r="C41" s="1688">
        <f>(SUM(C34,C37,C38,C39))</f>
        <v>292241</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6171</v>
      </c>
      <c r="M41" s="1688">
        <f>SUM(M40)</f>
        <v>2450971</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6"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1602637</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294296</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44028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1940961</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119204</v>
      </c>
      <c r="D9" s="516"/>
      <c r="E9" s="481"/>
      <c r="F9" s="481"/>
      <c r="G9" s="517"/>
      <c r="H9" s="481"/>
      <c r="I9" s="509" t="s">
        <v>1169</v>
      </c>
      <c r="J9" s="478"/>
      <c r="K9" s="481"/>
      <c r="L9" s="347"/>
    </row>
    <row r="10" spans="1:13" s="519" customFormat="1" ht="13.5" thickBot="1" x14ac:dyDescent="0.25">
      <c r="A10" s="1736" t="s">
        <v>1173</v>
      </c>
      <c r="B10" s="1709"/>
      <c r="C10" s="1688">
        <f>SUM(C8:C9)</f>
        <v>2060165</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1333098</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660667</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1993765</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119204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2112969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6" t="s">
        <v>1655</v>
      </c>
      <c r="B20" s="2127"/>
      <c r="C20" s="1746">
        <f>C8-C17</f>
        <v>-52804</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-52804</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345045</v>
      </c>
      <c r="D79" s="535"/>
      <c r="E79" s="535"/>
      <c r="F79" s="535"/>
      <c r="G79" s="535"/>
      <c r="H79" s="535"/>
      <c r="I79" s="535"/>
      <c r="J79" s="535"/>
      <c r="K79" s="535"/>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8">
        <f>(SUM(C78:C80))</f>
        <v>292241</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-52804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-0.18068648820665137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83" activePane="bottomLeft" state="frozen"/>
      <selection pane="bottomLeft" activeCell="C220" sqref="C22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1408691</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1408691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7469</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7469</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48405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48405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14414</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14414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700</v>
      </c>
      <c r="D95" s="551"/>
      <c r="E95" s="521"/>
      <c r="F95" s="521"/>
      <c r="G95" s="521"/>
      <c r="H95" s="521"/>
      <c r="I95" s="521"/>
      <c r="J95" s="521"/>
      <c r="K95" s="521"/>
    </row>
    <row r="96" spans="1:11" ht="12.75" customHeight="1" x14ac:dyDescent="0.2">
      <c r="A96" s="463" t="s">
        <v>391</v>
      </c>
      <c r="B96" s="470">
        <v>1920</v>
      </c>
      <c r="C96" s="551">
        <v>15715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13210</v>
      </c>
      <c r="D98" s="466"/>
      <c r="E98" s="512"/>
      <c r="F98" s="466"/>
      <c r="G98" s="512"/>
      <c r="H98" s="512"/>
      <c r="I98" s="510"/>
      <c r="J98" s="512"/>
      <c r="K98" s="512"/>
    </row>
    <row r="99" spans="1:12" ht="12.75" customHeight="1" x14ac:dyDescent="0.2">
      <c r="A99" s="463" t="s">
        <v>821</v>
      </c>
      <c r="B99" s="470">
        <v>1950</v>
      </c>
      <c r="C99" s="489">
        <v>-51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69052</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25032</v>
      </c>
      <c r="D107" s="466"/>
      <c r="E107" s="466"/>
      <c r="F107" s="466"/>
      <c r="G107" s="466"/>
      <c r="H107" s="466"/>
      <c r="I107" s="466"/>
      <c r="J107" s="467"/>
      <c r="K107" s="466"/>
    </row>
    <row r="108" spans="1:12" ht="12.75" customHeight="1" thickBot="1" x14ac:dyDescent="0.25">
      <c r="A108" s="1708" t="s">
        <v>487</v>
      </c>
      <c r="B108" s="1712"/>
      <c r="C108" s="1707">
        <f>SUM(C95:C107)</f>
        <v>123658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1602637</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294296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294296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294296</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294296</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44028</v>
      </c>
      <c r="D220" s="466"/>
      <c r="E220" s="468"/>
      <c r="F220" s="468"/>
      <c r="G220" s="466"/>
      <c r="H220" s="468"/>
      <c r="I220" s="468"/>
      <c r="J220" s="468"/>
      <c r="K220" s="468"/>
    </row>
    <row r="221" spans="1:11" ht="12.75" customHeight="1" thickBot="1" x14ac:dyDescent="0.25">
      <c r="A221" s="1723" t="s">
        <v>1085</v>
      </c>
      <c r="B221" s="1724"/>
      <c r="C221" s="1707">
        <f>SUM(C219:C220)</f>
        <v>44028</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44028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44028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1940961</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70" zoomScaleNormal="70" workbookViewId="0">
      <pane ySplit="2" topLeftCell="A3" activePane="bottomLeft" state="frozen"/>
      <selection pane="bottomLeft" activeCell="F14" sqref="F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12822+467</f>
        <v>13289</v>
      </c>
      <c r="D5" s="466">
        <v>394</v>
      </c>
      <c r="E5" s="466"/>
      <c r="F5" s="466">
        <v>117</v>
      </c>
      <c r="G5" s="466"/>
      <c r="H5" s="466"/>
      <c r="I5" s="467"/>
      <c r="J5" s="467"/>
      <c r="K5" s="1671">
        <f>SUM(C5:J5)</f>
        <v>13800</v>
      </c>
      <c r="L5" s="466">
        <v>14197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8436+11269</f>
        <v>19705</v>
      </c>
      <c r="D10" s="466">
        <f>1933+1507</f>
        <v>3440</v>
      </c>
      <c r="E10" s="466"/>
      <c r="F10" s="466">
        <v>95</v>
      </c>
      <c r="G10" s="466"/>
      <c r="H10" s="466"/>
      <c r="I10" s="467"/>
      <c r="J10" s="467"/>
      <c r="K10" s="1671">
        <f t="shared" si="0"/>
        <v>23240</v>
      </c>
      <c r="L10" s="466">
        <v>21120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896389</v>
      </c>
      <c r="D13" s="466">
        <v>123880</v>
      </c>
      <c r="E13" s="466">
        <f>265+445+227+1097+479+284+35-43+795+392+852+820+332+187+1070+694+584+521+1749+1100+252</f>
        <v>12137</v>
      </c>
      <c r="F13" s="466">
        <v>238713</v>
      </c>
      <c r="G13" s="466">
        <f>5695+2500</f>
        <v>8195</v>
      </c>
      <c r="H13" s="466"/>
      <c r="I13" s="467"/>
      <c r="J13" s="467"/>
      <c r="K13" s="1671">
        <f t="shared" si="0"/>
        <v>1279314</v>
      </c>
      <c r="L13" s="466">
        <v>1280600</v>
      </c>
    </row>
    <row r="14" spans="1:14" x14ac:dyDescent="0.2">
      <c r="A14" s="1504" t="s">
        <v>963</v>
      </c>
      <c r="B14" s="614">
        <v>1500</v>
      </c>
      <c r="C14" s="1937">
        <v>2000</v>
      </c>
      <c r="D14" s="466">
        <v>176</v>
      </c>
      <c r="E14" s="466">
        <f>159+751+270+18</f>
        <v>1198</v>
      </c>
      <c r="F14" s="466">
        <f>4000</f>
        <v>4000</v>
      </c>
      <c r="G14" s="466"/>
      <c r="H14" s="466"/>
      <c r="I14" s="467"/>
      <c r="J14" s="467"/>
      <c r="K14" s="1671">
        <f>SUM(D14:J14)</f>
        <v>5374</v>
      </c>
      <c r="L14" s="466">
        <v>8481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v>11370</v>
      </c>
      <c r="I27" s="616"/>
      <c r="J27" s="477"/>
      <c r="K27" s="1671">
        <f t="shared" si="0"/>
        <v>11370</v>
      </c>
      <c r="L27" s="471">
        <v>26600</v>
      </c>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931383</v>
      </c>
      <c r="D33" s="1670">
        <f t="shared" ref="D33:L33" si="1">SUM(D5:D32)</f>
        <v>127890</v>
      </c>
      <c r="E33" s="1670">
        <f t="shared" si="1"/>
        <v>13335</v>
      </c>
      <c r="F33" s="1670">
        <f t="shared" si="1"/>
        <v>242925</v>
      </c>
      <c r="G33" s="1670">
        <f t="shared" si="1"/>
        <v>8195</v>
      </c>
      <c r="H33" s="1670">
        <f t="shared" si="1"/>
        <v>11370</v>
      </c>
      <c r="I33" s="1670">
        <f t="shared" si="1"/>
        <v>0</v>
      </c>
      <c r="J33" s="1670">
        <f t="shared" si="1"/>
        <v>0</v>
      </c>
      <c r="K33" s="1670">
        <f t="shared" si="1"/>
        <v>1333098</v>
      </c>
      <c r="L33" s="1670">
        <f t="shared" si="1"/>
        <v>1350998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1040</v>
      </c>
      <c r="F44" s="481"/>
      <c r="G44" s="481"/>
      <c r="H44" s="481"/>
      <c r="I44" s="467"/>
      <c r="J44" s="467"/>
      <c r="K44" s="1672">
        <f>SUM(C44:J44)</f>
        <v>1040</v>
      </c>
      <c r="L44" s="481">
        <v>3420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1040</v>
      </c>
      <c r="F47" s="1670">
        <f t="shared" si="4"/>
        <v>0</v>
      </c>
      <c r="G47" s="1670">
        <f t="shared" si="4"/>
        <v>0</v>
      </c>
      <c r="H47" s="1670">
        <f t="shared" si="4"/>
        <v>0</v>
      </c>
      <c r="I47" s="1670">
        <f t="shared" si="4"/>
        <v>0</v>
      </c>
      <c r="J47" s="1670">
        <f t="shared" si="4"/>
        <v>0</v>
      </c>
      <c r="K47" s="1670">
        <f t="shared" si="4"/>
        <v>1040</v>
      </c>
      <c r="L47" s="1670">
        <f>SUM(L44:L46)</f>
        <v>3420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2921</v>
      </c>
      <c r="D49" s="481"/>
      <c r="E49" s="481">
        <v>67287</v>
      </c>
      <c r="F49" s="481">
        <v>1865</v>
      </c>
      <c r="G49" s="481"/>
      <c r="H49" s="481">
        <v>475</v>
      </c>
      <c r="I49" s="467"/>
      <c r="J49" s="467"/>
      <c r="K49" s="1672">
        <f>SUM(C49:J49)</f>
        <v>72548</v>
      </c>
      <c r="L49" s="481">
        <v>68021</v>
      </c>
    </row>
    <row r="50" spans="1:14" x14ac:dyDescent="0.2">
      <c r="A50" s="1504" t="s">
        <v>818</v>
      </c>
      <c r="B50" s="614">
        <v>2320</v>
      </c>
      <c r="C50" s="466">
        <f>105591+55504</f>
        <v>161095</v>
      </c>
      <c r="D50" s="466">
        <v>46551</v>
      </c>
      <c r="E50" s="466">
        <f>170+2929</f>
        <v>3099</v>
      </c>
      <c r="F50" s="466">
        <f>1558+2232</f>
        <v>3790</v>
      </c>
      <c r="G50" s="466">
        <v>1329</v>
      </c>
      <c r="H50" s="466"/>
      <c r="I50" s="467"/>
      <c r="J50" s="467"/>
      <c r="K50" s="1672">
        <f>SUM(C50:J50)</f>
        <v>215864</v>
      </c>
      <c r="L50" s="466">
        <v>217900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7669</v>
      </c>
      <c r="F52" s="474"/>
      <c r="G52" s="474"/>
      <c r="H52" s="474"/>
      <c r="I52" s="474"/>
      <c r="J52" s="474"/>
      <c r="K52" s="1672">
        <f>SUM(C52:J52)</f>
        <v>7669</v>
      </c>
      <c r="L52" s="474">
        <v>9499</v>
      </c>
    </row>
    <row r="53" spans="1:14" ht="12.75" customHeight="1" thickBot="1" x14ac:dyDescent="0.25">
      <c r="A53" s="1668" t="s">
        <v>717</v>
      </c>
      <c r="B53" s="1669" t="s">
        <v>33</v>
      </c>
      <c r="C53" s="1670">
        <f>SUM(C49:C52)</f>
        <v>164016</v>
      </c>
      <c r="D53" s="1670">
        <f t="shared" ref="D53:L53" si="5">SUM(D49:D52)</f>
        <v>46551</v>
      </c>
      <c r="E53" s="1670">
        <f t="shared" si="5"/>
        <v>78055</v>
      </c>
      <c r="F53" s="1670">
        <f t="shared" si="5"/>
        <v>5655</v>
      </c>
      <c r="G53" s="1670">
        <f t="shared" si="5"/>
        <v>1329</v>
      </c>
      <c r="H53" s="1670">
        <f t="shared" si="5"/>
        <v>475</v>
      </c>
      <c r="I53" s="1670">
        <f t="shared" si="5"/>
        <v>0</v>
      </c>
      <c r="J53" s="1670">
        <f t="shared" si="5"/>
        <v>0</v>
      </c>
      <c r="K53" s="1670">
        <f t="shared" si="5"/>
        <v>296081</v>
      </c>
      <c r="L53" s="1670">
        <f t="shared" si="5"/>
        <v>295420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75909</v>
      </c>
      <c r="D55" s="481">
        <f>19024+2290</f>
        <v>21314</v>
      </c>
      <c r="E55" s="481">
        <v>434</v>
      </c>
      <c r="F55" s="481">
        <v>37</v>
      </c>
      <c r="G55" s="481"/>
      <c r="H55" s="481">
        <v>764</v>
      </c>
      <c r="I55" s="467"/>
      <c r="J55" s="467"/>
      <c r="K55" s="1672">
        <f>SUM(C55:J55)</f>
        <v>98458</v>
      </c>
      <c r="L55" s="481">
        <v>98337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75909</v>
      </c>
      <c r="D57" s="1674">
        <f t="shared" ref="D57:K57" si="6">SUM(D55:D56)</f>
        <v>21314</v>
      </c>
      <c r="E57" s="1674">
        <f t="shared" si="6"/>
        <v>434</v>
      </c>
      <c r="F57" s="1674">
        <f t="shared" si="6"/>
        <v>37</v>
      </c>
      <c r="G57" s="1674">
        <f t="shared" si="6"/>
        <v>0</v>
      </c>
      <c r="H57" s="1674">
        <f t="shared" si="6"/>
        <v>764</v>
      </c>
      <c r="I57" s="1674">
        <f t="shared" si="6"/>
        <v>0</v>
      </c>
      <c r="J57" s="1674">
        <f t="shared" si="6"/>
        <v>0</v>
      </c>
      <c r="K57" s="1674">
        <f t="shared" si="6"/>
        <v>98458</v>
      </c>
      <c r="L57" s="1670">
        <f>SUM(L55:L56)</f>
        <v>98337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44709</v>
      </c>
      <c r="D60" s="466">
        <v>14258</v>
      </c>
      <c r="E60" s="466">
        <v>364</v>
      </c>
      <c r="F60" s="466">
        <v>334</v>
      </c>
      <c r="G60" s="466"/>
      <c r="H60" s="466"/>
      <c r="I60" s="467"/>
      <c r="J60" s="467"/>
      <c r="K60" s="1672">
        <f t="shared" si="7"/>
        <v>59665</v>
      </c>
      <c r="L60" s="466">
        <v>61738</v>
      </c>
      <c r="M60" s="609"/>
      <c r="N60" s="609"/>
    </row>
    <row r="61" spans="1:14" s="343" customFormat="1" x14ac:dyDescent="0.2">
      <c r="A61" s="1504" t="s">
        <v>197</v>
      </c>
      <c r="B61" s="614">
        <v>2540</v>
      </c>
      <c r="C61" s="466">
        <v>45523</v>
      </c>
      <c r="D61" s="466">
        <v>15221</v>
      </c>
      <c r="E61" s="466">
        <v>37598</v>
      </c>
      <c r="F61" s="466">
        <f>91757+4494</f>
        <v>96251</v>
      </c>
      <c r="G61" s="466">
        <v>7448</v>
      </c>
      <c r="H61" s="466"/>
      <c r="I61" s="467"/>
      <c r="J61" s="467"/>
      <c r="K61" s="1672">
        <f t="shared" si="7"/>
        <v>202041</v>
      </c>
      <c r="L61" s="466">
        <v>185105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90232</v>
      </c>
      <c r="D65" s="1670">
        <f t="shared" ref="D65:L65" si="8">SUM(D59:D64)</f>
        <v>29479</v>
      </c>
      <c r="E65" s="1670">
        <f t="shared" si="8"/>
        <v>37962</v>
      </c>
      <c r="F65" s="1670">
        <f t="shared" si="8"/>
        <v>96585</v>
      </c>
      <c r="G65" s="1670">
        <f t="shared" si="8"/>
        <v>7448</v>
      </c>
      <c r="H65" s="1670">
        <f t="shared" si="8"/>
        <v>0</v>
      </c>
      <c r="I65" s="1670">
        <f t="shared" si="8"/>
        <v>0</v>
      </c>
      <c r="J65" s="1670">
        <f t="shared" si="8"/>
        <v>0</v>
      </c>
      <c r="K65" s="1670">
        <f t="shared" si="8"/>
        <v>261706</v>
      </c>
      <c r="L65" s="1670">
        <f t="shared" si="8"/>
        <v>246843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3382</v>
      </c>
      <c r="D69" s="466"/>
      <c r="E69" s="466"/>
      <c r="F69" s="466"/>
      <c r="G69" s="466"/>
      <c r="H69" s="466"/>
      <c r="I69" s="467"/>
      <c r="J69" s="467"/>
      <c r="K69" s="1672">
        <f>SUM(C69:J69)</f>
        <v>3382</v>
      </c>
      <c r="L69" s="466">
        <v>3690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3382</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3382</v>
      </c>
      <c r="L72" s="1670">
        <f>SUM(L67:L71)</f>
        <v>3690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333539</v>
      </c>
      <c r="D74" s="1677">
        <f t="shared" ref="D74:K74" si="10">SUM(D42,D47,D53,D57,D65,D72,D73)</f>
        <v>97344</v>
      </c>
      <c r="E74" s="1677">
        <f t="shared" si="10"/>
        <v>117491</v>
      </c>
      <c r="F74" s="1677">
        <f t="shared" si="10"/>
        <v>102277</v>
      </c>
      <c r="G74" s="1677">
        <f t="shared" si="10"/>
        <v>8777</v>
      </c>
      <c r="H74" s="1677">
        <f t="shared" si="10"/>
        <v>1239</v>
      </c>
      <c r="I74" s="1677">
        <f t="shared" si="10"/>
        <v>0</v>
      </c>
      <c r="J74" s="1677">
        <f t="shared" si="10"/>
        <v>0</v>
      </c>
      <c r="K74" s="1677">
        <f t="shared" si="10"/>
        <v>660667</v>
      </c>
      <c r="L74" s="1677">
        <f>SUM(L42,L47,L53,L57,L65,L72,L73)</f>
        <v>647710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1264922</v>
      </c>
      <c r="D114" s="1670">
        <f t="shared" ref="D114:K114" si="13">SUM(D33,D74,D75,D102,D112,D113)</f>
        <v>225234</v>
      </c>
      <c r="E114" s="1670">
        <f t="shared" si="13"/>
        <v>130826</v>
      </c>
      <c r="F114" s="1670">
        <f t="shared" si="13"/>
        <v>345202</v>
      </c>
      <c r="G114" s="1670">
        <f t="shared" si="13"/>
        <v>16972</v>
      </c>
      <c r="H114" s="1670">
        <f>SUM(H33,H74,H75,H102,H112,H113)</f>
        <v>12609</v>
      </c>
      <c r="I114" s="1670">
        <f t="shared" si="13"/>
        <v>0</v>
      </c>
      <c r="J114" s="1670">
        <f t="shared" si="13"/>
        <v>0</v>
      </c>
      <c r="K114" s="1670">
        <f t="shared" si="13"/>
        <v>1993765</v>
      </c>
      <c r="L114" s="1670">
        <f>SUM(L33,L74,L75,L102,L112,L113)</f>
        <v>1998708</v>
      </c>
    </row>
    <row r="115" spans="1:14" ht="13.5" thickTop="1" x14ac:dyDescent="0.2">
      <c r="A115" s="2156" t="s">
        <v>996</v>
      </c>
      <c r="B115" s="2157"/>
      <c r="C115" s="618"/>
      <c r="D115" s="618"/>
      <c r="E115" s="618"/>
      <c r="F115" s="618"/>
      <c r="G115" s="618"/>
      <c r="H115" s="618"/>
      <c r="I115" s="618"/>
      <c r="J115" s="618"/>
      <c r="K115" s="1684">
        <f>'Revenues 9-14'!C268-'Expenditures 15-22'!K114</f>
        <v>-52804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6" t="s">
        <v>1178</v>
      </c>
      <c r="B152" s="2177"/>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6" t="s">
        <v>996</v>
      </c>
      <c r="B175" s="215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6" t="s">
        <v>996</v>
      </c>
      <c r="B211" s="2157"/>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6" t="s">
        <v>996</v>
      </c>
      <c r="B296" s="2157"/>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9" t="s">
        <v>996</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996</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www.w3.org/XML/1998/namespace"/>
    <ds:schemaRef ds:uri="http://purl.org/dc/elements/1.1/"/>
    <ds:schemaRef ds:uri="http://schemas.microsoft.com/office/infopath/2007/PartnerControls"/>
    <ds:schemaRef ds:uri="http://schemas.microsoft.com/office/2006/documentManagement/types"/>
    <ds:schemaRef ds:uri="4d435f69-8686-490b-bd6d-b153bf22ab50"/>
    <ds:schemaRef ds:uri="http://purl.org/dc/dcmitype/"/>
    <ds:schemaRef ds:uri="6ce3111e-7420-4802-b50a-75d4e9a0b980"/>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2019-09-30T21:00:30Z</cp:lastPrinted>
  <dcterms:created xsi:type="dcterms:W3CDTF">2003-10-29T19:06:34Z</dcterms:created>
  <dcterms:modified xsi:type="dcterms:W3CDTF">2019-11-04T22:15:10Z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95aa30a0-6e10-43fd-ada4-7fde89903dfa</vt:lpwstr>
  </property>
</Properties>
</file>