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20" yWindow="-120" windowWidth="29040" windowHeight="15840" tabRatio="84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D69" i="36" l="1"/>
  <c r="L13" i="11"/>
  <c r="B2060" i="106" s="1"/>
  <c r="D2060" i="106" s="1"/>
  <c r="G15" i="145"/>
  <c r="L367" i="29"/>
  <c r="I210" i="29"/>
  <c r="B7071" i="106" s="1"/>
  <c r="D7071" i="106" s="1"/>
  <c r="J77" i="4"/>
  <c r="B6262" i="106" s="1"/>
  <c r="D6262" i="106" s="1"/>
  <c r="C129" i="29"/>
  <c r="J352" i="29"/>
  <c r="J367" i="29" s="1"/>
  <c r="B7245" i="106" s="1"/>
  <c r="D7245" i="106" s="1"/>
  <c r="D6103" i="106"/>
  <c r="H365" i="29"/>
  <c r="B7242" i="106" s="1"/>
  <c r="D7242"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6" i="11" l="1"/>
  <c r="B2061" i="106" s="1"/>
  <c r="D2061" i="106" s="1"/>
  <c r="B5527" i="106"/>
  <c r="D5527" i="106" s="1"/>
  <c r="D44" i="36"/>
  <c r="D41" i="108"/>
  <c r="E43" i="108" s="1"/>
  <c r="B1328" i="106"/>
  <c r="D1328" i="106" s="1"/>
  <c r="D7250" i="106"/>
  <c r="L114" i="29"/>
  <c r="F66" i="34"/>
  <c r="B7235" i="106"/>
  <c r="D7235" i="106" s="1"/>
  <c r="G6" i="4"/>
  <c r="B2604" i="106" s="1"/>
  <c r="D2604" i="106" s="1"/>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B6227" i="106" l="1"/>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<sst xmlns="http://schemas.openxmlformats.org/spreadsheetml/2006/main" count="5050" uniqueCount="2085">
  <si>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</si>
  <si>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</si>
  <si>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</si>
  <si>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</si>
  <si>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</si>
  <si>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</si>
  <si>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</si>
  <si>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</si>
  <si>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</si>
  <si>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</si>
  <si>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</si>
  <si>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</si>
  <si>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</si>
  <si>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</si>
  <si>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</si>
  <si>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</si>
  <si>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</si>
  <si>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</si>
  <si>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</si>
  <si>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</si>
  <si>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</si>
  <si>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</si>
  <si>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</si>
  <si>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</si>
  <si>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</si>
  <si>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</si>
  <si>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</si>
  <si>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</si>
  <si>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</si>
  <si>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</si>
  <si>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</si>
  <si>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</si>
  <si>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</si>
  <si>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</si>
  <si>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</si>
  <si>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</si>
  <si>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</si>
  <si>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</si>
  <si>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</si>
  <si>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</si>
  <si>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</si>
  <si>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</si>
  <si>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</si>
  <si>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</si>
  <si>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</si>
  <si>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</si>
  <si>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</si>
  <si>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</si>
  <si>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</si>
  <si>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</si>
  <si>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</si>
  <si>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</si>
  <si>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</si>
  <si>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</si>
  <si>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</si>
  <si>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</si>
  <si>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</si>
  <si>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</si>
  <si>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</si>
  <si>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</si>
  <si>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</si>
  <si>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</si>
  <si>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</si>
  <si>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</si>
  <si>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</si>
  <si>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</si>
  <si>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</si>
  <si>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</si>
  <si>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</si>
  <si>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</si>
  <si>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</si>
  <si>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</si>
  <si>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</si>
  <si>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</si>
  <si>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</si>
  <si>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</si>
  <si>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</si>
  <si>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</si>
  <si>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</si>
  <si>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</si>
  <si>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</si>
  <si>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</si>
  <si>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</si>
  <si>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</si>
  <si>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</si>
  <si>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</si>
  <si>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</si>
  <si>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</si>
  <si>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</si>
  <si>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</si>
  <si>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</si>
  <si>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</si>
  <si>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</si>
  <si>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</si>
  <si>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</si>
  <si>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</si>
  <si>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</si>
  <si>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</si>
  <si>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</si>
  <si>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</si>
  <si>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</si>
  <si>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</si>
  <si>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</si>
  <si>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</si>
  <si>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</si>
  <si>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</si>
  <si>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</si>
  <si>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</si>
  <si>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</si>
  <si>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</si>
  <si>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</si>
  <si>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</si>
  <si>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</si>
  <si>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</si>
  <si>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</si>
  <si>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</si>
  <si>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</si>
  <si>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</si>
  <si>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</si>
  <si>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</si>
  <si>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</si>
  <si>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</si>
  <si>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</si>
  <si>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</si>
  <si>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</si>
  <si>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</si>
  <si>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</si>
  <si>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</si>
  <si>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</si>
  <si>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</si>
  <si>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</si>
  <si>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</si>
  <si>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</si>
  <si>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</si>
  <si>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</si>
  <si>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</si>
  <si>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</si>
  <si>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</si>
  <si>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</si>
  <si>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</si>
  <si>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</si>
  <si>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</si>
  <si>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</si>
  <si>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</si>
  <si>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</si>
  <si>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</si>
  <si>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</si>
  <si>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</si>
  <si>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</si>
  <si>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</si>
  <si>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</si>
  <si>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</si>
  <si>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</si>
  <si>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</si>
  <si>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</si>
  <si>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</si>
  <si>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</si>
  <si>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</si>
  <si>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</si>
  <si>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</si>
  <si>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</si>
  <si>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</si>
  <si>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</si>
  <si>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</si>
  <si>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</si>
  <si>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</si>
  <si>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</si>
  <si>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</si>
  <si>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</si>
  <si>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</si>
  <si>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</si>
  <si>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</si>
  <si>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</si>
  <si>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</si>
  <si>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</si>
  <si>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</si>
  <si>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</si>
  <si>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</si>
  <si>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</si>
  <si>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</si>
  <si>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</si>
  <si>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</si>
  <si>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</si>
  <si>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</si>
  <si>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</si>
  <si>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</si>
  <si>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</si>
  <si>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</si>
  <si>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</si>
  <si>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</si>
  <si>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</si>
  <si>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</si>
  <si>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</si>
  <si>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</si>
  <si>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</si>
  <si>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</si>
  <si>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</si>
  <si>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</si>
  <si>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</si>
  <si>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</si>
  <si>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</si>
  <si>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</si>
  <si>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</si>
  <si>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</si>
  <si>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</si>
  <si>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</si>
  <si>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</si>
  <si>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</si>
  <si>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</si>
  <si>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</si>
  <si>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</si>
  <si>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</si>
  <si>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</si>
  <si>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</si>
  <si>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</si>
  <si>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</si>
  <si>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</si>
  <si>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</si>
  <si>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</si>
  <si>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</si>
  <si>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</si>
  <si>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</si>
  <si>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</si>
  <si>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</si>
  <si>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</si>
  <si>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</si>
  <si>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</si>
  <si>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</si>
  <si>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</si>
  <si>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</si>
  <si>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</si>
  <si>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</si>
  <si>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</si>
  <si>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</si>
  <si>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</si>
  <si>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</si>
  <si>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</si>
  <si>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</si>
  <si>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</si>
  <si>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</si>
  <si>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</si>
  <si>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</si>
  <si>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</si>
  <si>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</si>
  <si>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</si>
  <si>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</si>
  <si>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</si>
  <si>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</si>
  <si>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</si>
  <si>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</si>
  <si>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</si>
  <si>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</si>
  <si>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</si>
  <si>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</si>
  <si>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</si>
  <si>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</si>
  <si>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</si>
  <si>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</si>
  <si>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</si>
  <si>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</si>
  <si>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</si>
  <si>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</si>
  <si>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</si>
  <si>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</si>
  <si>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</si>
  <si>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</si>
  <si>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</si>
  <si>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</si>
  <si>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</si>
  <si>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</si>
  <si>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</si>
  <si>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</si>
  <si>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</si>
  <si>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</si>
  <si>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</si>
  <si>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</si>
  <si>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</si>
  <si>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</si>
  <si>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</si>
  <si>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</si>
  <si>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</si>
  <si>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</si>
  <si>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</si>
  <si>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</si>
  <si>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</si>
  <si>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</si>
  <si>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</si>
  <si>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</si>
  <si>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</si>
  <si>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</si>
  <si>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</si>
  <si>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</si>
  <si>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</si>
  <si>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</si>
  <si>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</si>
  <si>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</si>
  <si>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</si>
  <si>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</si>
  <si>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</si>
  <si>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</si>
  <si>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</si>
  <si>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</si>
  <si>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</si>
  <si>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</si>
  <si>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</si>
  <si>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</si>
  <si>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</si>
  <si>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</si>
  <si>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</si>
  <si>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</si>
  <si>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</si>
  <si>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</si>
  <si>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</si>
  <si>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</si>
  <si>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</si>
  <si>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</si>
  <si>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</si>
  <si>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</si>
  <si>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</si>
  <si>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</si>
  <si>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</si>
  <si>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</si>
  <si>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</si>
  <si>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</si>
  <si>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</si>
  <si>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</si>
  <si>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</si>
  <si>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</si>
  <si>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</si>
  <si>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</si>
  <si>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</si>
  <si>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</si>
  <si>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</si>
  <si>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</si>
  <si>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</si>
  <si>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</si>
  <si>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</si>
  <si>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</si>
  <si>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</si>
  <si>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</si>
  <si>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</si>
  <si>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</si>
  <si>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</si>
  <si>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</si>
  <si>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</si>
  <si>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</si>
  <si>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</si>
  <si>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</si>
  <si>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</si>
  <si>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</si>
  <si>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</si>
  <si>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</si>
  <si>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</si>
  <si>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</si>
  <si>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</si>
  <si>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</si>
  <si>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</si>
  <si>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</si>
  <si>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</si>
  <si>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</si>
  <si>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</si>
  <si>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</si>
  <si>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</si>
  <si>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</si>
  <si>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</si>
  <si>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</si>
  <si>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</si>
  <si>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</si>
  <si>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</si>
  <si>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</si>
  <si>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</si>
  <si>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</si>
  <si>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</si>
  <si>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</si>
  <si>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</si>
  <si>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</si>
  <si>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</si>
  <si>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</si>
  <si>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</si>
  <si>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</si>
  <si>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</si>
  <si>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</si>
  <si>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</si>
  <si>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</si>
  <si>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</si>
  <si>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</si>
  <si>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</si>
  <si>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</si>
  <si>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</si>
  <si>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</si>
  <si>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</si>
  <si>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</si>
  <si>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</si>
  <si>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</si>
  <si>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</si>
  <si>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</si>
  <si>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</si>
  <si>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</si>
  <si>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</si>
  <si>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</si>
  <si>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</si>
  <si>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</si>
  <si>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</si>
  <si>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</si>
  <si>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</si>
  <si>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</si>
  <si>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</si>
  <si>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</si>
  <si>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</si>
  <si>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</si>
  <si>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</si>
  <si>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</si>
  <si>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</si>
  <si>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</si>
  <si>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</si>
  <si>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</si>
  <si>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</si>
  <si>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</si>
  <si>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</si>
  <si>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</si>
  <si>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</si>
  <si>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</si>
  <si>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</si>
  <si>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</si>
  <si>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</si>
  <si>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</si>
  <si>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</si>
  <si>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</si>
  <si>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</si>
  <si>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</si>
  <si>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</si>
  <si>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</si>
  <si>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</si>
  <si>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</si>
  <si>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</si>
  <si>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</si>
  <si>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</si>
  <si>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</si>
  <si>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</si>
  <si>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</si>
  <si>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</si>
  <si>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</si>
  <si>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</si>
  <si>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</si>
  <si>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</si>
  <si>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</si>
  <si>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</si>
  <si>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</si>
  <si>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</si>
  <si>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</si>
  <si>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</si>
  <si>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</si>
  <si>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</si>
  <si>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</si>
  <si>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</si>
  <si>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</si>
  <si>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</si>
  <si>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</si>
  <si>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</si>
  <si>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</si>
  <si>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</si>
  <si>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</si>
  <si>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</si>
  <si>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</si>
  <si>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</si>
  <si>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</si>
  <si>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</si>
  <si>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</si>
  <si>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</si>
  <si>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</si>
  <si>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</si>
  <si>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</si>
  <si>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</si>
  <si>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</si>
  <si>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</si>
  <si>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</si>
  <si>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</si>
  <si>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</si>
  <si>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</si>
  <si>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</si>
  <si>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</si>
  <si>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</si>
  <si>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</si>
  <si>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</si>
  <si>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</si>
  <si>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</si>
  <si>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</si>
  <si>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</si>
  <si>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</si>
  <si>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</si>
  <si>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</si>
  <si>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</si>
  <si>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</si>
  <si>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</si>
  <si>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</si>
  <si>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</si>
  <si>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</si>
  <si>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</si>
  <si>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</si>
  <si>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</si>
  <si>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</si>
  <si>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</si>
  <si>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</si>
  <si>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</si>
  <si>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</si>
  <si>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</si>
  <si>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</si>
  <si>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</si>
  <si>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</si>
  <si>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</si>
  <si>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</si>
  <si>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</si>
  <si>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</si>
  <si>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</si>
  <si>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</si>
  <si>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</si>
  <si>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</si>
  <si>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</si>
  <si>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</si>
  <si>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</si>
  <si>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</si>
  <si>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</si>
  <si>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</si>
  <si>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</si>
  <si>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</si>
  <si>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</si>
  <si>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</si>
  <si>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</si>
  <si>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</si>
  <si>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</si>
  <si>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</si>
  <si>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</si>
  <si>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</si>
  <si>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</si>
  <si>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</si>
  <si>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</si>
  <si>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</si>
  <si>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</si>
  <si>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</si>
  <si>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</si>
  <si>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</si>
  <si>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</si>
  <si>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</si>
  <si>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</si>
  <si>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</si>
  <si>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</si>
  <si>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</si>
  <si>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</si>
  <si>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</si>
  <si>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</si>
  <si>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</si>
  <si>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</si>
  <si>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</si>
  <si>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</si>
  <si>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</si>
  <si>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</si>
  <si>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</si>
  <si>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</si>
  <si>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</si>
  <si>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</si>
  <si>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</si>
  <si>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</si>
  <si>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</si>
  <si>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</si>
  <si>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</si>
  <si>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</si>
  <si>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</si>
  <si>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</si>
  <si>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</si>
  <si>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</si>
  <si>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</si>
  <si>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</si>
  <si>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</si>
  <si>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</si>
  <si>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</si>
  <si>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</si>
  <si>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</si>
  <si>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</si>
  <si>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</si>
  <si>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</si>
  <si>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</si>
  <si>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</si>
  <si>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</si>
  <si>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</si>
  <si>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</si>
  <si>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</si>
  <si>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</si>
  <si>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</si>
  <si>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</si>
  <si>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</si>
  <si>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</si>
  <si>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</si>
  <si>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</si>
  <si>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</si>
  <si>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</si>
  <si>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</si>
  <si>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</si>
  <si>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</si>
  <si>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</si>
  <si>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</si>
  <si>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</si>
  <si>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</si>
  <si>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</si>
  <si>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</si>
  <si>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</si>
  <si>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</si>
  <si>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</si>
  <si>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</si>
  <si>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</si>
  <si>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</si>
  <si>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</si>
  <si>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</si>
  <si>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</si>
  <si>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</si>
  <si>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</si>
  <si>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</si>
  <si>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</si>
  <si>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</si>
  <si>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</si>
  <si>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</si>
  <si>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</si>
  <si>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</si>
  <si>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</si>
  <si>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</si>
  <si>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</si>
  <si>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</si>
  <si>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</si>
  <si>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</si>
  <si>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</si>
  <si>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</si>
  <si>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</si>
  <si>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</si>
  <si>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</si>
  <si>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</si>
  <si>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</si>
  <si>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</si>
  <si>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</si>
  <si>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</si>
  <si>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</si>
  <si>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</si>
  <si>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</si>
  <si>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</si>
  <si>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</si>
  <si>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</si>
  <si>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</si>
  <si>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</si>
  <si>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</si>
  <si>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</si>
  <si>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</si>
  <si>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</si>
  <si>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</si>
  <si>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</si>
  <si>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</si>
  <si>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</si>
  <si>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</si>
  <si>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</si>
  <si>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</si>
  <si>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</si>
  <si>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</si>
  <si>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</si>
  <si>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</si>
  <si>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</si>
  <si>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</si>
  <si>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</si>
  <si>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</si>
  <si>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</si>
  <si>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</si>
  <si>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</si>
  <si>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</si>
  <si>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</si>
  <si>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</si>
  <si>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</si>
  <si>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</si>
  <si>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</si>
  <si>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</si>
  <si>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</si>
  <si>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</si>
  <si>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</si>
  <si>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</si>
  <si>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</si>
  <si>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</si>
  <si>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</si>
  <si>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</si>
  <si>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</si>
  <si>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</si>
  <si>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</si>
  <si>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</si>
  <si>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</si>
  <si>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</si>
  <si>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</si>
  <si>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</si>
  <si>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</si>
  <si>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</si>
  <si>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</si>
  <si>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</si>
  <si>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</si>
  <si>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</si>
  <si>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</si>
  <si>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</si>
  <si>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</si>
  <si>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</si>
  <si>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</si>
  <si>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</si>
  <si>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</si>
  <si>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</si>
  <si>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</si>
  <si>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</si>
  <si>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</si>
  <si>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</si>
  <si>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</si>
  <si>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</si>
  <si>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</si>
  <si>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</si>
  <si>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</si>
  <si>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</si>
  <si>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</si>
  <si>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</si>
  <si>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</si>
  <si>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</si>
  <si>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</si>
  <si>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</si>
  <si>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</si>
  <si>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</si>
  <si>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</si>
  <si>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</si>
  <si>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</si>
  <si>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</si>
  <si>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</si>
  <si>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</si>
  <si>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</si>
  <si>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</si>
  <si>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</si>
  <si>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</si>
  <si>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</si>
  <si>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</si>
  <si>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</si>
  <si>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</si>
  <si>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</si>
  <si>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</si>
  <si>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</si>
  <si>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</si>
  <si>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</si>
  <si>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</si>
  <si>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</si>
  <si>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</si>
  <si>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</si>
  <si>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</si>
  <si>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</si>
  <si>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</si>
  <si>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</si>
  <si>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</si>
  <si>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</si>
  <si>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</si>
  <si>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</si>
  <si>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</si>
  <si>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</si>
  <si>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</si>
  <si>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</si>
  <si>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</si>
  <si>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</si>
  <si>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</si>
  <si>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</si>
  <si>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</si>
  <si>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</si>
  <si>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</si>
  <si>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</si>
  <si>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</si>
  <si>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</si>
  <si>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</si>
  <si>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</si>
  <si>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</si>
  <si>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</si>
  <si>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</si>
  <si>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</si>
  <si>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</si>
  <si>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</si>
  <si>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</si>
  <si>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</si>
  <si>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</si>
  <si>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</si>
  <si>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</si>
  <si>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</si>
  <si>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</si>
  <si>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</si>
  <si>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</si>
  <si>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</si>
  <si>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</si>
  <si>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</si>
  <si>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</si>
  <si>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</si>
  <si>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</si>
  <si>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</si>
  <si>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</si>
  <si>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</si>
  <si>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</si>
  <si>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</si>
  <si>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</si>
  <si>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</si>
  <si>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</si>
  <si>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</si>
  <si>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</si>
  <si>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</si>
  <si>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</si>
  <si>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</si>
  <si>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</si>
  <si>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</si>
  <si>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</si>
  <si>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</si>
  <si>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</si>
  <si>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</si>
  <si>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</si>
  <si>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</si>
  <si>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</si>
  <si>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</si>
  <si>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</si>
  <si>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</si>
  <si>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</si>
  <si>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</si>
  <si>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</si>
  <si>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</si>
  <si>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</si>
  <si>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</si>
  <si>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</si>
  <si>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</si>
  <si>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</si>
  <si>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</si>
  <si>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</si>
  <si>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</si>
  <si>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</si>
  <si>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</si>
  <si>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</si>
  <si>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</si>
  <si>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</si>
  <si>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</si>
  <si>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</si>
  <si>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</si>
  <si>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</si>
  <si>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</si>
  <si>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</si>
  <si>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</si>
  <si>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</si>
  <si>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</si>
  <si>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</si>
  <si>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</si>
  <si>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</si>
  <si>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</si>
  <si>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</si>
  <si>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</si>
  <si>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</si>
  <si>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</si>
  <si>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</si>
  <si>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</si>
  <si>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</si>
  <si>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</si>
  <si>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</si>
  <si>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</si>
  <si>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</si>
  <si>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</si>
  <si>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</si>
  <si>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</si>
  <si>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</si>
  <si>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</si>
  <si>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</si>
  <si>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</si>
  <si>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</si>
  <si>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</si>
  <si>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</si>
  <si>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</si>
  <si>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</si>
  <si>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</si>
  <si>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</si>
  <si>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</si>
  <si>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</si>
  <si>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</si>
  <si>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</si>
  <si>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</si>
  <si>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</si>
  <si>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</si>
  <si>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</si>
  <si>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</si>
  <si>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</si>
  <si>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</si>
  <si>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</si>
  <si>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</si>
  <si>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</si>
  <si>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</si>
  <si>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</si>
  <si>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</si>
  <si>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</si>
  <si>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</si>
  <si>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</si>
  <si>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</si>
  <si>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</si>
  <si>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</si>
  <si>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</si>
  <si>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</si>
  <si>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</si>
  <si>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</si>
  <si>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</si>
  <si>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</si>
  <si>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</si>
  <si>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</si>
  <si>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</si>
  <si>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</si>
  <si>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</si>
  <si>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</si>
  <si>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</si>
  <si>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</si>
  <si>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</si>
  <si>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</si>
  <si>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</si>
  <si>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</si>
  <si>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</si>
  <si>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</si>
  <si>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</si>
  <si>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</si>
  <si>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</si>
  <si>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</si>
  <si>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</si>
  <si>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</si>
  <si>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</si>
  <si>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</si>
  <si>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</si>
  <si>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</si>
  <si>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</si>
  <si>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</si>
  <si>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</si>
  <si>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</si>
  <si>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</si>
  <si>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</si>
  <si>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</si>
  <si>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</si>
  <si>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</si>
  <si>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</si>
  <si>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</si>
  <si>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</si>
  <si>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</si>
  <si>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</si>
  <si>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</si>
  <si>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</si>
  <si>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</si>
  <si>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</si>
  <si>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</si>
  <si>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</si>
  <si>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</si>
  <si>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</si>
  <si>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</si>
  <si>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</si>
  <si>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</si>
  <si>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</si>
  <si>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</si>
  <si>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</si>
  <si>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</si>
  <si>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</si>
  <si>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</si>
  <si>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</si>
  <si>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</si>
  <si>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</si>
  <si>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</si>
  <si>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</si>
  <si>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</si>
  <si>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</si>
  <si>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</si>
  <si>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</si>
  <si>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</si>
  <si>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</si>
  <si>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</si>
  <si>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</si>
  <si>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</si>
  <si>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</si>
  <si>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</si>
  <si>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</si>
  <si>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</si>
  <si>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</si>
  <si>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</si>
  <si>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</si>
  <si>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</si>
  <si>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</si>
  <si>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</si>
  <si>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</si>
  <si>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</si>
  <si>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</si>
  <si>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</si>
  <si>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</si>
  <si>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</si>
  <si>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</si>
  <si>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</si>
  <si>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</si>
  <si>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</si>
  <si>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</si>
  <si>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</si>
  <si>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</si>
  <si>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</si>
  <si>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</si>
  <si>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</si>
  <si>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</si>
  <si>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</si>
  <si>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</si>
  <si>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</si>
  <si>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</si>
  <si>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</si>
  <si>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</si>
  <si>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</si>
  <si>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</si>
  <si>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</si>
  <si>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</si>
  <si>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</si>
  <si>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</si>
  <si>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</si>
  <si>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</si>
  <si>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</si>
  <si>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</si>
  <si>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</si>
  <si>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</si>
  <si>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</si>
  <si>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</si>
  <si>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</si>
  <si>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</si>
  <si>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</si>
  <si>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</si>
  <si>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</si>
  <si>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</si>
  <si>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</si>
  <si>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</si>
  <si>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</si>
  <si>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</si>
  <si>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</si>
  <si>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</si>
  <si>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</si>
  <si>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</si>
  <si>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</si>
  <si>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</si>
  <si>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</si>
  <si>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</si>
  <si>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</si>
  <si>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</si>
  <si>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</si>
  <si>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</si>
  <si>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</si>
  <si>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</si>
  <si>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</si>
  <si>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</si>
  <si>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</si>
  <si>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</si>
  <si>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</si>
  <si>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</si>
  <si>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</si>
  <si>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</si>
  <si>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</si>
  <si>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</si>
  <si>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</si>
  <si>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</si>
  <si>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</si>
  <si>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</si>
  <si>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</si>
  <si>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</si>
  <si>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</si>
  <si>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</si>
  <si>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</si>
  <si>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</si>
  <si>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</si>
  <si>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</si>
  <si>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</si>
  <si>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</si>
  <si>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</si>
  <si>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</si>
  <si>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</si>
  <si>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</si>
  <si>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</si>
  <si>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</si>
  <si>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</si>
  <si>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</si>
  <si>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</si>
  <si>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</si>
  <si>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</si>
  <si>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</si>
  <si>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</si>
  <si>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</si>
  <si>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</si>
  <si>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</si>
  <si>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</si>
  <si>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</si>
  <si>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</si>
  <si>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</si>
  <si>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</si>
  <si>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</si>
  <si>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</si>
  <si>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</si>
  <si>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</si>
  <si>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</si>
  <si>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</si>
  <si>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</si>
  <si>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</si>
  <si>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</si>
  <si>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</si>
  <si>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</si>
  <si>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</si>
  <si>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</si>
  <si>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</si>
  <si>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</si>
  <si>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</si>
  <si>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</si>
  <si>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</si>
  <si>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</si>
  <si>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</si>
  <si>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</si>
  <si>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</si>
  <si>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</si>
  <si>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</si>
  <si>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</si>
  <si>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</si>
  <si>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</si>
  <si>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</si>
  <si>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</si>
  <si>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</si>
  <si>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</si>
  <si>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</si>
  <si>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</si>
  <si>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</si>
  <si>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</si>
  <si>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</si>
  <si>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</si>
  <si>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</si>
  <si>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</si>
  <si>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</si>
  <si>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</si>
  <si>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</si>
  <si>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</si>
  <si>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</si>
  <si>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</si>
  <si>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</si>
  <si>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</si>
  <si>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</si>
  <si>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</si>
  <si>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</si>
  <si>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</si>
  <si>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</si>
  <si>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</si>
  <si>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</si>
  <si>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</si>
  <si>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</si>
  <si>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</si>
  <si>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</si>
  <si>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</si>
  <si>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</si>
  <si>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</si>
  <si>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</si>
  <si>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</si>
  <si>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</si>
  <si>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</si>
  <si>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</si>
  <si>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</si>
  <si>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</si>
  <si>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</si>
  <si>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</si>
  <si>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</si>
  <si>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</si>
  <si>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</si>
  <si>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</si>
  <si>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</si>
  <si>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</si>
  <si>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</si>
  <si>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</si>
  <si>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</si>
  <si>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</si>
  <si>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</si>
  <si>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</si>
  <si>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</si>
  <si>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</si>
  <si>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</si>
  <si>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</si>
  <si>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</si>
  <si>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</si>
  <si>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</si>
  <si>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</si>
  <si>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</si>
  <si>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</si>
  <si>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</si>
  <si>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</si>
  <si>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</si>
  <si>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</si>
  <si>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</si>
  <si>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</si>
  <si>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</si>
  <si>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</si>
  <si>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</si>
  <si>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</si>
  <si>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</si>
  <si>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</si>
  <si>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</si>
  <si>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</si>
  <si>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</si>
  <si>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</si>
  <si>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</si>
  <si>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</si>
  <si>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</si>
  <si>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</si>
  <si>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</si>
  <si>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</si>
  <si>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</si>
  <si>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</si>
  <si>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</si>
  <si>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</si>
  <si>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</si>
  <si>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</si>
  <si>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</si>
  <si>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</si>
  <si>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</si>
  <si>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</si>
  <si>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</si>
  <si>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</si>
  <si>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</si>
  <si>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</si>
  <si>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</si>
  <si>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</si>
  <si>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</si>
  <si>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</si>
  <si>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</si>
  <si>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</si>
  <si>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</si>
  <si>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</si>
  <si>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</si>
  <si>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</si>
  <si>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</si>
  <si>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</si>
  <si>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</si>
  <si>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</si>
  <si>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</si>
  <si>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</si>
  <si>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</si>
  <si>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</si>
  <si>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</si>
  <si>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</si>
  <si>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</si>
  <si>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</si>
  <si>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</si>
  <si>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</si>
  <si>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</si>
  <si>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</si>
  <si>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</si>
  <si>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</si>
  <si>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</si>
  <si>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</si>
  <si>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</si>
  <si>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</si>
  <si>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</si>
  <si>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</si>
  <si>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</si>
  <si>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</si>
  <si>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</si>
  <si>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</si>
  <si>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</si>
  <si>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</si>
  <si>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</si>
  <si>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</si>
  <si>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</si>
  <si>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</si>
  <si>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</si>
  <si>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</si>
  <si>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</si>
  <si>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</si>
  <si>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</si>
  <si>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</si>
  <si>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</si>
  <si>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</si>
  <si>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</si>
  <si>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</si>
  <si>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</si>
  <si>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</si>
  <si>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</si>
  <si>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</si>
  <si>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</si>
  <si>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</si>
  <si>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</si>
  <si>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</si>
  <si>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</si>
  <si>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</si>
  <si>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</si>
  <si>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</si>
  <si>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</si>
  <si>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</si>
  <si>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</si>
  <si>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</si>
  <si>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</si>
  <si>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</si>
  <si>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</si>
  <si>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</si>
  <si>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</si>
  <si>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</si>
  <si>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</si>
  <si>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</si>
  <si>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</si>
  <si>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</si>
  <si>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</si>
  <si>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</si>
  <si>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</si>
  <si>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</si>
  <si>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</si>
  <si>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</si>
  <si>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</si>
  <si>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</si>
  <si>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</si>
  <si>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</si>
  <si>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</si>
  <si>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</si>
  <si>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</si>
  <si>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</si>
  <si>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</si>
  <si>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</si>
  <si>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</si>
  <si>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</si>
  <si>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</si>
  <si>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</si>
  <si>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</si>
  <si>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</si>
  <si>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</si>
  <si>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</si>
  <si>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</si>
  <si>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</si>
  <si>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</si>
  <si>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</si>
  <si>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</si>
  <si>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</si>
  <si>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</si>
  <si>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</si>
  <si>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</si>
  <si>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</si>
  <si>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</si>
  <si>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</si>
  <si>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</si>
  <si>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</si>
  <si>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</si>
  <si>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</si>
  <si>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</si>
  <si>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</si>
  <si>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</si>
  <si>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</si>
  <si>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</si>
  <si>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</si>
  <si>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</si>
  <si>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</si>
  <si>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</si>
  <si>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</si>
  <si>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</si>
  <si>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</si>
  <si>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</si>
  <si>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</si>
  <si>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</si>
  <si>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</si>
  <si>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</si>
  <si>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</si>
  <si>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</si>
  <si>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</si>
  <si>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</si>
  <si>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</si>
  <si>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</si>
  <si>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</si>
  <si>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</si>
  <si>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</si>
  <si>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</si>
  <si>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</si>
  <si>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</si>
  <si>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</si>
  <si>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</si>
  <si>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</si>
  <si>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</si>
  <si>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</si>
  <si>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</si>
  <si>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</si>
  <si>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</si>
  <si>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</si>
  <si>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</si>
  <si>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</si>
  <si>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</si>
  <si>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</si>
  <si>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</si>
  <si>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</si>
  <si>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</si>
  <si>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</si>
  <si>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</si>
  <si>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</si>
  <si>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</si>
  <si>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</si>
  <si>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</si>
  <si>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</si>
  <si>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</si>
  <si>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</si>
  <si>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</si>
  <si>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</si>
  <si>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</si>
  <si>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</si>
  <si>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</si>
  <si>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</si>
  <si>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</si>
  <si>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</si>
  <si>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</si>
  <si>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</si>
  <si>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</si>
  <si>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</si>
  <si>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</si>
  <si>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</si>
  <si>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</si>
  <si>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</si>
  <si>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</si>
  <si>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</si>
  <si>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</si>
  <si>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</si>
  <si>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</si>
  <si>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</si>
  <si>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</si>
  <si>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</si>
  <si>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</si>
  <si>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</si>
  <si>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</si>
  <si>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</si>
  <si>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</si>
  <si>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</si>
  <si>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</si>
  <si>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</si>
  <si>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</si>
  <si>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</si>
  <si>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</si>
  <si>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</si>
  <si>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</si>
  <si>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</si>
  <si>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</si>
  <si>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</si>
  <si>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</si>
  <si>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</si>
  <si>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</si>
  <si>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</si>
  <si>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</si>
  <si>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</si>
  <si>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</si>
  <si>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</si>
  <si>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</si>
  <si>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</si>
  <si>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</si>
  <si>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</si>
  <si>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</si>
  <si>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</si>
  <si>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</si>
  <si>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</si>
  <si>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</si>
  <si>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</si>
  <si>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</si>
  <si>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</si>
  <si>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</si>
  <si>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</si>
  <si>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</si>
  <si>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</si>
  <si>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</si>
  <si>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</si>
  <si>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</si>
  <si>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</si>
  <si>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</si>
  <si>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</si>
  <si>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</si>
  <si>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</si>
  <si>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</si>
  <si>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</si>
  <si>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</si>
  <si>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</si>
  <si>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</si>
  <si>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</si>
  <si>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</si>
  <si>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</si>
  <si>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</si>
  <si>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</si>
  <si>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</si>
  <si>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</si>
  <si>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</si>
  <si>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</si>
  <si>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</si>
  <si>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</si>
  <si>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</si>
  <si>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</si>
  <si>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</si>
  <si>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</si>
  <si>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</si>
  <si>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</si>
  <si>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</si>
  <si>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</si>
  <si>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</si>
  <si>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</si>
  <si>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</si>
  <si>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</si>
  <si>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</si>
  <si>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</si>
  <si>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</si>
  <si>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</si>
  <si>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</si>
  <si>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</si>
  <si>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</si>
  <si>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</si>
  <si>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</si>
  <si>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</si>
  <si>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</si>
  <si>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</si>
  <si>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</si>
  <si>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</si>
  <si>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</si>
  <si>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</si>
  <si>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</si>
  <si>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</si>
  <si>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</si>
  <si>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</si>
  <si>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</si>
  <si>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</si>
  <si>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</si>
  <si>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</si>
  <si>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</si>
  <si>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</si>
  <si>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</si>
  <si>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</si>
  <si>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</si>
  <si>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</si>
  <si>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</si>
  <si>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</si>
  <si>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</si>
  <si>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</si>
  <si>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</si>
  <si>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</si>
  <si>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</si>
  <si>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</si>
  <si>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</si>
  <si>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</si>
  <si>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</si>
  <si>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</si>
  <si>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</si>
  <si>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</si>
  <si>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</si>
  <si>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</si>
  <si>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</si>
  <si>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</si>
  <si>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</si>
  <si>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</si>
  <si>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</si>
  <si>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</si>
  <si>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</si>
  <si>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</si>
  <si>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</si>
  <si>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</si>
  <si>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</si>
  <si>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</si>
  <si>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</si>
  <si>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</si>
  <si>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</si>
  <si>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</si>
  <si>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</si>
  <si>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</si>
  <si>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</si>
  <si>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</si>
  <si>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</si>
  <si>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</si>
  <si>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</si>
  <si>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</si>
  <si>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</si>
  <si>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</si>
  <si>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</si>
  <si>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</si>
  <si>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</si>
  <si>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</si>
  <si>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</si>
  <si>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</si>
  <si>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</si>
  <si>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</si>
  <si>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</si>
  <si>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</si>
  <si>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</si>
  <si>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</si>
  <si>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</si>
  <si>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</si>
  <si>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</si>
  <si>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</si>
  <si>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</si>
  <si>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</si>
  <si>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</si>
  <si>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</si>
  <si>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</si>
  <si>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</si>
  <si>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</si>
  <si>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</si>
  <si>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</si>
  <si>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</si>
  <si>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</si>
  <si>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</si>
  <si>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</si>
  <si>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</si>
  <si>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</si>
  <si>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</si>
  <si>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</si>
  <si>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</si>
  <si>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</si>
  <si>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</si>
  <si>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</si>
  <si>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</si>
  <si>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</si>
  <si>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</si>
  <si>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</si>
  <si>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</si>
  <si>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</si>
  <si>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</si>
  <si>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</si>
  <si>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</si>
  <si>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</si>
  <si>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</si>
  <si>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</si>
  <si>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</si>
  <si>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</si>
  <si>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</si>
  <si>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</si>
  <si>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</si>
  <si>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</si>
  <si>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</si>
  <si>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</si>
  <si>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</si>
  <si>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</si>
  <si>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</si>
  <si>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</si>
  <si>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</si>
  <si>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</si>
  <si>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</si>
  <si>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</si>
  <si>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</si>
  <si>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</si>
  <si>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</si>
  <si>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</si>
  <si>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</si>
  <si>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</si>
  <si>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</si>
  <si>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</si>
  <si>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</si>
  <si>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</si>
  <si>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</si>
  <si>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</si>
  <si>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</si>
  <si>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</si>
  <si>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</si>
  <si>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</si>
  <si>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</si>
  <si>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</si>
  <si>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</si>
  <si>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</si>
  <si>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</si>
  <si>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</si>
  <si>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</si>
  <si>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</si>
  <si>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</si>
  <si>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</si>
  <si>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</si>
  <si>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</si>
  <si>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</si>
  <si>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</si>
  <si>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</si>
  <si>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</si>
  <si>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</si>
  <si>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</si>
  <si>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</si>
  <si>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</si>
  <si>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</si>
  <si>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</si>
  <si>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</si>
  <si>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</si>
  <si>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</si>
  <si>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</si>
  <si>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</si>
  <si>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</si>
  <si>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</si>
  <si>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</si>
  <si>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</si>
  <si>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</si>
  <si>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</si>
  <si>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</si>
  <si>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</si>
  <si>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</si>
  <si>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</si>
  <si>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</si>
  <si>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</si>
  <si>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</si>
  <si>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</si>
  <si>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</si>
  <si>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</si>
  <si>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</si>
  <si>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</si>
  <si>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</si>
  <si>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</si>
  <si>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</si>
  <si>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</si>
  <si>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</si>
  <si>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</si>
  <si>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</si>
  <si>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</si>
  <si>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</si>
  <si>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</si>
  <si>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</si>
  <si>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</si>
  <si>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</si>
  <si>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</si>
  <si>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</si>
  <si>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</si>
  <si>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</si>
  <si>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</si>
  <si>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</si>
  <si>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</si>
  <si>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</si>
  <si>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</si>
  <si>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</si>
  <si>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</si>
  <si>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</si>
  <si>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</si>
  <si>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</si>
  <si>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</si>
  <si>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</si>
  <si>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</si>
  <si>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</si>
  <si>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</si>
  <si>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</si>
  <si>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</si>
  <si>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</si>
  <si>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</si>
  <si>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</si>
  <si>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</si>
  <si>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</si>
  <si>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</si>
  <si>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</si>
  <si>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</si>
  <si>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</si>
  <si>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</si>
  <si>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</si>
  <si>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</si>
  <si>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</si>
  <si>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</si>
  <si>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</si>
  <si>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</si>
  <si>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</si>
  <si>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</si>
  <si>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</si>
  <si>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</si>
  <si>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</si>
  <si>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</si>
  <si>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</si>
  <si>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</si>
  <si>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</si>
  <si>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</si>
  <si>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</si>
  <si>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</si>
  <si>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</si>
  <si>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</si>
  <si>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</si>
  <si>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</si>
  <si>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</si>
  <si>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</si>
  <si>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</si>
  <si>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</si>
  <si>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</si>
  <si>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</si>
  <si>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</si>
  <si>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</si>
  <si>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</si>
  <si>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</si>
  <si>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</si>
  <si>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</si>
  <si>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</si>
  <si>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</si>
  <si>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</si>
  <si>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</si>
  <si>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</si>
  <si>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</si>
  <si>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</si>
  <si>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</si>
  <si>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</si>
  <si>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</si>
  <si>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</si>
  <si>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</si>
  <si>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</si>
  <si>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</si>
  <si>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</si>
  <si>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</si>
  <si>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</si>
  <si>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</si>
  <si>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</si>
  <si>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</si>
  <si>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</si>
  <si>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</si>
  <si>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</si>
  <si>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</si>
  <si>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</si>
  <si>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</si>
  <si>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</si>
  <si>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</si>
  <si>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</si>
  <si>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</si>
  <si>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</si>
  <si>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</si>
  <si>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</si>
  <si>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</si>
  <si>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</si>
  <si>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</si>
  <si>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</si>
  <si>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</si>
  <si>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</si>
  <si>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</si>
  <si>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</si>
  <si>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</si>
  <si>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</si>
  <si>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</si>
  <si>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</si>
  <si>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</si>
  <si>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</si>
  <si>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</si>
  <si>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</si>
  <si>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</si>
  <si>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</si>
  <si>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</si>
  <si>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</si>
  <si>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</si>
  <si>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</si>
  <si>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</si>
  <si>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</si>
  <si>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</si>
  <si>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</si>
  <si>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</si>
  <si>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</si>
  <si>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</si>
  <si>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</si>
  <si>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</si>
  <si>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</si>
  <si>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</si>
  <si>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</si>
  <si>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</si>
  <si>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</si>
  <si>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</si>
  <si>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</si>
  <si>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</si>
  <si>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</si>
  <si>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</si>
  <si>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</si>
  <si>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</si>
  <si>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</si>
  <si>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</si>
  <si>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</si>
  <si>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</si>
  <si>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</si>
  <si>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</si>
  <si>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</si>
  <si>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</si>
  <si>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</si>
  <si>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</si>
  <si>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</si>
  <si>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</si>
  <si>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</si>
  <si>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</si>
  <si>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</si>
  <si>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</si>
  <si>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</si>
  <si>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</si>
  <si>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</si>
  <si>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</si>
  <si>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</si>
  <si>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</si>
  <si>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</si>
  <si>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</si>
  <si>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</si>
  <si>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</si>
  <si>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</si>
  <si>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</si>
  <si>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</si>
  <si>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</si>
  <si>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</si>
  <si>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</si>
  <si>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</si>
  <si>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</si>
  <si>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</si>
  <si>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</si>
  <si>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</si>
  <si>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</si>
  <si>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</si>
  <si>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</si>
  <si>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</si>
  <si>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</si>
  <si>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</si>
  <si>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</si>
  <si>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</si>
  <si>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</si>
  <si>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</si>
  <si>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</si>
  <si>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</si>
  <si>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</si>
  <si>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</si>
  <si>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</si>
  <si>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</si>
  <si>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</si>
  <si>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</si>
  <si>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</si>
  <si>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</si>
  <si>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</si>
  <si>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</si>
  <si>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</si>
  <si>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</si>
  <si>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</si>
  <si>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</si>
  <si>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</si>
  <si>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</si>
  <si>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</si>
  <si>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</si>
  <si>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</si>
  <si>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</si>
  <si>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</si>
  <si>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</si>
  <si>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</si>
  <si>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</si>
  <si>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</si>
  <si>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</si>
  <si>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</si>
  <si>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</si>
  <si>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</si>
  <si>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</si>
  <si>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</si>
  <si>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</si>
  <si>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</si>
  <si>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</si>
  <si>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</si>
  <si>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</si>
  <si>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</si>
  <si>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</si>
  <si>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</si>
  <si>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</si>
  <si>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</si>
  <si>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</si>
  <si>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</si>
  <si>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</si>
  <si>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</si>
  <si>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</si>
  <si>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</si>
  <si>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</si>
  <si>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</si>
  <si>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</si>
  <si>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</si>
  <si>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</si>
  <si>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</si>
  <si>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</si>
  <si>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</si>
  <si>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</si>
  <si>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</si>
  <si>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</si>
  <si>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</si>
  <si>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</si>
  <si>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</si>
  <si>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</si>
  <si>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</si>
  <si>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</si>
  <si>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</si>
  <si>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</si>
  <si>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</si>
  <si>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</si>
  <si>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</si>
  <si>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</si>
  <si>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</si>
  <si>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</si>
  <si>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</si>
  <si>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</si>
  <si>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</si>
  <si>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</si>
  <si>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</si>
  <si>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</si>
  <si>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</si>
  <si>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</si>
  <si>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</si>
  <si>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</si>
  <si>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</si>
  <si>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</si>
  <si>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</si>
  <si>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</si>
  <si>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</si>
  <si>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</si>
  <si>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</si>
  <si>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</si>
  <si>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</si>
  <si>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</si>
  <si>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</si>
  <si>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</si>
  <si>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</si>
  <si>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</si>
  <si>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</si>
  <si>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</si>
  <si>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</si>
  <si>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</si>
  <si>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</si>
  <si>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</si>
  <si>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</si>
  <si>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</si>
  <si>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</si>
  <si>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</si>
  <si>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</si>
  <si>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</si>
  <si>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</si>
  <si>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</si>
  <si>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</si>
  <si>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</si>
  <si>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</si>
  <si>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</si>
  <si>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</si>
  <si>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</si>
  <si>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</si>
  <si>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</si>
  <si>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</si>
  <si>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</si>
  <si>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</si>
  <si>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</si>
  <si>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</si>
  <si>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</si>
  <si>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</si>
  <si>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</si>
  <si>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</si>
  <si>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</si>
  <si>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</si>
  <si>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</si>
  <si>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</si>
  <si>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</si>
  <si>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</si>
  <si>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</si>
  <si>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</si>
  <si>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</si>
  <si>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</si>
  <si>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</si>
  <si>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</si>
  <si>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</si>
  <si>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</si>
  <si>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</si>
  <si>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</si>
  <si>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</si>
  <si>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</si>
  <si>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</si>
  <si>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</si>
  <si>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</si>
  <si>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</si>
  <si>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</si>
  <si>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</si>
  <si>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</si>
  <si>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</si>
  <si>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</si>
  <si>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</si>
  <si>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</si>
  <si>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</si>
  <si>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</si>
  <si>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</si>
  <si>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</si>
  <si>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</si>
  <si>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</si>
  <si>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</si>
  <si>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</si>
  <si>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</si>
  <si>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</si>
  <si>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</si>
  <si>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</si>
  <si>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</si>
  <si>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</si>
  <si>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</si>
  <si>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</si>
  <si>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</si>
  <si>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</si>
  <si>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</si>
  <si>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</si>
  <si>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</si>
  <si>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</si>
  <si>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Dekalb</t>
  </si>
  <si>
    <t>21255 Malta Road</t>
  </si>
  <si>
    <t>Malta</t>
  </si>
  <si>
    <t>Sikich LLP</t>
  </si>
  <si>
    <t>Brian D. LeFevre, Partner</t>
  </si>
  <si>
    <t>1415 W. Diehl Rd, Suite 400</t>
  </si>
  <si>
    <t>Naperville</t>
  </si>
  <si>
    <t>IL</t>
  </si>
  <si>
    <t>630-566-8400</t>
  </si>
  <si>
    <t>630-566-8401</t>
  </si>
  <si>
    <t>066-003284</t>
  </si>
  <si>
    <t>brian.lefevre@sikich.com</t>
  </si>
  <si>
    <t>Refunding Debt Certificates, Series 2013</t>
  </si>
  <si>
    <t>Refunding Debt Certificates</t>
  </si>
  <si>
    <t>None</t>
  </si>
  <si>
    <t>Per Revenues 9-14, account 3999, Other Restricted Revenue From State Sources: RSSP Grant, RSSCEP Grant, and State Free Lunch &amp; Breakfast Prorgram</t>
  </si>
  <si>
    <t>Per Revenues 9-14, account 4799, CTE - Other: Perkins Grant, National School Lunch Program, and School Breakfast Program</t>
  </si>
  <si>
    <t>Per Expenditures 15-22, account 4190, Other Payments to In-State Govt. Units: Rochelle Township High School</t>
  </si>
  <si>
    <t>Kishwaukee Educ Consortium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</si>
</sst>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88148849-DA86-4427-8F01-CB48C5DF6A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85" zoomScaleNormal="85"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7" t="s">
        <v>405</v>
      </c>
      <c r="J1" s="2018"/>
      <c r="K1" s="2018"/>
      <c r="L1" s="2018"/>
      <c r="M1" s="2018"/>
      <c r="N1" s="2018"/>
      <c r="O1" s="2018"/>
      <c r="P1" s="2018"/>
      <c r="Q1" s="2018"/>
      <c r="R1" s="2018"/>
      <c r="S1" s="2018"/>
    </row>
    <row r="2" spans="1:28" ht="12" customHeight="1" x14ac:dyDescent="0.2">
      <c r="A2" s="47" t="s">
        <v>1991</v>
      </c>
      <c r="D2" s="48"/>
      <c r="I2" s="2019" t="s">
        <v>979</v>
      </c>
      <c r="J2" s="2018"/>
      <c r="K2" s="2018"/>
      <c r="L2" s="2018"/>
      <c r="M2" s="2018"/>
      <c r="N2" s="2018"/>
      <c r="O2" s="2018"/>
      <c r="P2" s="2018"/>
      <c r="Q2" s="2018"/>
      <c r="R2" s="2018"/>
      <c r="S2" s="2018"/>
    </row>
    <row r="3" spans="1:28" ht="12" customHeight="1" x14ac:dyDescent="0.2">
      <c r="A3" s="155" t="s">
        <v>1943</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c r="C5" s="26" t="s">
        <v>910</v>
      </c>
      <c r="D5" s="84"/>
      <c r="E5" s="84"/>
      <c r="H5" s="38"/>
      <c r="I5" s="2026" t="s">
        <v>680</v>
      </c>
      <c r="J5" s="1971"/>
      <c r="K5" s="1971"/>
      <c r="L5" s="1971"/>
      <c r="M5" s="1971"/>
      <c r="N5" s="1971"/>
      <c r="O5" s="1971"/>
      <c r="P5" s="1971"/>
      <c r="Q5" s="1971"/>
      <c r="R5" s="1971"/>
      <c r="S5" s="1971"/>
    </row>
    <row r="6" spans="1:28" ht="14.1" customHeight="1" x14ac:dyDescent="0.2">
      <c r="B6" s="104" t="s">
        <v>2065</v>
      </c>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t="s">
        <v>2065</v>
      </c>
      <c r="P12" s="100" t="s">
        <v>202</v>
      </c>
      <c r="Q12" s="74"/>
      <c r="R12" s="30"/>
      <c r="S12" s="30"/>
      <c r="T12" s="85" t="s">
        <v>265</v>
      </c>
      <c r="U12" s="51"/>
      <c r="V12" s="51"/>
      <c r="W12" s="51"/>
      <c r="X12" s="51"/>
      <c r="Y12" s="45"/>
      <c r="Z12" s="45"/>
      <c r="AA12" s="46"/>
    </row>
    <row r="13" spans="1:28" ht="13.5" customHeight="1" x14ac:dyDescent="0.2">
      <c r="A13" s="1987">
        <v>16000000046</v>
      </c>
      <c r="B13" s="1988"/>
      <c r="C13" s="1988"/>
      <c r="D13" s="1988"/>
      <c r="E13" s="1988"/>
      <c r="F13" s="1988"/>
      <c r="G13" s="1988"/>
      <c r="H13" s="1989"/>
      <c r="I13" s="31"/>
      <c r="J13" s="30"/>
      <c r="K13" s="28"/>
      <c r="L13" s="30"/>
      <c r="M13" s="30"/>
      <c r="N13" s="30"/>
      <c r="O13" s="30"/>
      <c r="P13" s="30"/>
      <c r="Q13" s="30"/>
      <c r="R13" s="30"/>
      <c r="S13" s="30"/>
      <c r="T13" s="1992" t="s">
        <v>2069</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2066</v>
      </c>
      <c r="B15" s="1990"/>
      <c r="C15" s="1990"/>
      <c r="D15" s="1990"/>
      <c r="E15" s="1990"/>
      <c r="F15" s="1990"/>
      <c r="G15" s="1990"/>
      <c r="H15" s="1991"/>
      <c r="T15" s="1953" t="s">
        <v>2070</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2084</v>
      </c>
      <c r="B17" s="2015"/>
      <c r="C17" s="2015"/>
      <c r="D17" s="2015"/>
      <c r="E17" s="2015"/>
      <c r="F17" s="2015"/>
      <c r="G17" s="2015"/>
      <c r="H17" s="2016"/>
      <c r="T17" s="2002" t="s">
        <v>2071</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2067</v>
      </c>
      <c r="B19" s="1986"/>
      <c r="C19" s="1986"/>
      <c r="D19" s="1986"/>
      <c r="E19" s="1986"/>
      <c r="F19" s="1986"/>
      <c r="G19" s="1986"/>
      <c r="H19" s="1984"/>
      <c r="I19" s="30"/>
      <c r="J19" s="99"/>
      <c r="K19" s="40"/>
      <c r="L19" s="38"/>
      <c r="M19" s="112" t="s">
        <v>315</v>
      </c>
      <c r="P19" s="27"/>
      <c r="Q19" s="27"/>
      <c r="R19" s="27"/>
      <c r="S19" s="31"/>
      <c r="T19" s="1985" t="s">
        <v>2072</v>
      </c>
      <c r="U19" s="1983"/>
      <c r="V19" s="1983"/>
      <c r="W19" s="1984"/>
      <c r="X19" s="2000" t="s">
        <v>2073</v>
      </c>
      <c r="Y19" s="2001"/>
      <c r="Z19" s="1998">
        <v>60563</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2068</v>
      </c>
      <c r="B21" s="1983"/>
      <c r="C21" s="1983"/>
      <c r="D21" s="1983"/>
      <c r="E21" s="1983"/>
      <c r="F21" s="1983"/>
      <c r="G21" s="1983"/>
      <c r="H21" s="1984"/>
      <c r="I21" s="2008" t="s">
        <v>678</v>
      </c>
      <c r="J21" s="1971"/>
      <c r="K21" s="1971"/>
      <c r="L21" s="1971"/>
      <c r="M21" s="1971"/>
      <c r="N21" s="1971"/>
      <c r="O21" s="1971"/>
      <c r="P21" s="1971"/>
      <c r="Q21" s="1971"/>
      <c r="R21" s="1971"/>
      <c r="S21" s="1972"/>
      <c r="T21" s="1950" t="s">
        <v>2074</v>
      </c>
      <c r="U21" s="1951"/>
      <c r="V21" s="1951"/>
      <c r="W21" s="1951"/>
      <c r="X21" s="1964" t="s">
        <v>2075</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c r="B23" s="2006"/>
      <c r="C23" s="2006"/>
      <c r="D23" s="2006"/>
      <c r="E23" s="2006"/>
      <c r="F23" s="2006"/>
      <c r="G23" s="2006"/>
      <c r="H23" s="2007"/>
      <c r="T23" s="1945" t="s">
        <v>2076</v>
      </c>
      <c r="U23" s="1946"/>
      <c r="V23" s="1946"/>
      <c r="W23" s="1946"/>
      <c r="X23" s="1961">
        <v>44530</v>
      </c>
      <c r="Y23" s="1962"/>
      <c r="Z23" s="1962"/>
      <c r="AA23" s="1963"/>
    </row>
    <row r="24" spans="1:27" ht="14.1" customHeight="1" x14ac:dyDescent="0.2">
      <c r="A24" s="88" t="s">
        <v>677</v>
      </c>
      <c r="B24" s="49"/>
      <c r="C24" s="49"/>
      <c r="D24" s="49"/>
      <c r="E24" s="49"/>
      <c r="F24" s="49"/>
      <c r="G24" s="49"/>
      <c r="H24" s="61"/>
      <c r="J24" s="2047" t="str">
        <f>IF(B5="x",IF(AUDITCHECK!D29="AFR form Incomplete.","",IF(AUDITCHECK!D29="Deficit reduction plan is required.","School District must complete a deficit reduction plan in the 2019-2020 Budget",)),"")</f>
        <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60150</v>
      </c>
      <c r="B25" s="1983"/>
      <c r="C25" s="1983"/>
      <c r="D25" s="1983"/>
      <c r="E25" s="1983"/>
      <c r="F25" s="1983"/>
      <c r="G25" s="1983"/>
      <c r="H25" s="1984"/>
      <c r="I25" s="113"/>
      <c r="J25" s="2049"/>
      <c r="K25" s="2049"/>
      <c r="L25" s="2049"/>
      <c r="M25" s="2049"/>
      <c r="N25" s="2049"/>
      <c r="O25" s="2049"/>
      <c r="P25" s="2049"/>
      <c r="Q25" s="2049"/>
      <c r="R25" s="2049"/>
      <c r="S25" s="2050"/>
      <c r="T25" s="1942" t="s">
        <v>2077</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c r="B38" s="2015"/>
      <c r="C38" s="2015"/>
      <c r="D38" s="2015"/>
      <c r="E38" s="2015"/>
      <c r="F38" s="1983"/>
      <c r="G38" s="1983"/>
      <c r="H38" s="1984"/>
      <c r="I38" s="2034"/>
      <c r="J38" s="1954"/>
      <c r="K38" s="1954"/>
      <c r="L38" s="1954"/>
      <c r="M38" s="1954"/>
      <c r="N38" s="1954"/>
      <c r="O38" s="1954"/>
      <c r="P38" s="1955"/>
      <c r="Q38" s="1955"/>
      <c r="R38" s="1955"/>
      <c r="S38" s="1956"/>
      <c r="T38" s="1953"/>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c r="B40" s="2042"/>
      <c r="C40" s="2043"/>
      <c r="D40" s="2043"/>
      <c r="E40" s="2043"/>
      <c r="F40" s="2044"/>
      <c r="G40" s="2044"/>
      <c r="H40" s="2045"/>
      <c r="I40" s="1957"/>
      <c r="J40" s="1959"/>
      <c r="K40" s="1959"/>
      <c r="L40" s="1959"/>
      <c r="M40" s="1959"/>
      <c r="N40" s="1959"/>
      <c r="O40" s="1959"/>
      <c r="P40" s="1959"/>
      <c r="Q40" s="1959"/>
      <c r="R40" s="1959"/>
      <c r="S40" s="1960"/>
      <c r="T40" s="1957"/>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c r="B42" s="2032"/>
      <c r="C42" s="2033"/>
      <c r="D42" s="2046"/>
      <c r="E42" s="2032"/>
      <c r="F42" s="2032"/>
      <c r="G42" s="2032"/>
      <c r="H42" s="2033"/>
      <c r="I42" s="1952"/>
      <c r="J42" s="1948"/>
      <c r="K42" s="1948"/>
      <c r="L42" s="1948"/>
      <c r="M42" s="1948"/>
      <c r="N42" s="1948"/>
      <c r="O42" s="1949"/>
      <c r="P42" s="1947"/>
      <c r="Q42" s="1948"/>
      <c r="R42" s="1948"/>
      <c r="S42" s="1949"/>
      <c r="T42" s="1952"/>
      <c r="U42" s="1948"/>
      <c r="V42" s="1948"/>
      <c r="W42" s="1949"/>
      <c r="X42" s="1947"/>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C9" sqref="C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7" colorId="8" zoomScale="85" zoomScaleNormal="85" workbookViewId="0">
      <selection activeCell="C9" sqref="C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4" t="s">
        <v>1954</v>
      </c>
      <c r="D2" s="723" t="s">
        <v>1955</v>
      </c>
      <c r="E2" s="723" t="s">
        <v>1956</v>
      </c>
      <c r="F2" s="1884" t="s">
        <v>1957</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5">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8" t="s">
        <v>631</v>
      </c>
      <c r="B15" s="2189"/>
      <c r="C15" s="1755">
        <f>SUM(C6:C14)</f>
        <v>0</v>
      </c>
      <c r="D15" s="1755">
        <f>SUM(D6:D14)</f>
        <v>0</v>
      </c>
      <c r="E15" s="1755">
        <f>SUM(E6:E14)</f>
        <v>0</v>
      </c>
      <c r="F15" s="1755">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5">
        <f>SUM(C17+D17)-E17</f>
        <v>0</v>
      </c>
    </row>
    <row r="18" spans="1:11" ht="12.75" customHeight="1" thickTop="1" thickBot="1" x14ac:dyDescent="0.25">
      <c r="A18" s="2211" t="s">
        <v>6</v>
      </c>
      <c r="B18" s="2212"/>
      <c r="C18" s="726"/>
      <c r="D18" s="585"/>
      <c r="E18" s="726"/>
      <c r="F18" s="1755">
        <f>SUM(C18+D18)-E18</f>
        <v>0</v>
      </c>
    </row>
    <row r="19" spans="1:11" ht="12.75" customHeight="1" thickTop="1" thickBot="1" x14ac:dyDescent="0.25">
      <c r="A19" s="2211" t="s">
        <v>388</v>
      </c>
      <c r="B19" s="2212"/>
      <c r="C19" s="726"/>
      <c r="D19" s="585"/>
      <c r="E19" s="726"/>
      <c r="F19" s="1755">
        <f>SUM(C19+D19)-E19</f>
        <v>0</v>
      </c>
    </row>
    <row r="20" spans="1:11" ht="12.75" customHeight="1" thickTop="1" thickBot="1" x14ac:dyDescent="0.25">
      <c r="A20" s="2211" t="s">
        <v>448</v>
      </c>
      <c r="B20" s="2212"/>
      <c r="C20" s="726"/>
      <c r="D20" s="585"/>
      <c r="E20" s="726"/>
      <c r="F20" s="1755">
        <f>SUM(C20+D20)-E20</f>
        <v>0</v>
      </c>
    </row>
    <row r="21" spans="1:11" ht="14.25" thickTop="1" thickBot="1" x14ac:dyDescent="0.25">
      <c r="A21" s="2188" t="s">
        <v>632</v>
      </c>
      <c r="B21" s="2189"/>
      <c r="C21" s="1755">
        <f>SUM(C17:C20)</f>
        <v>0</v>
      </c>
      <c r="D21" s="1755">
        <f>SUM(D17:D20)</f>
        <v>0</v>
      </c>
      <c r="E21" s="1755">
        <f>SUM(E17:E20)</f>
        <v>0</v>
      </c>
      <c r="F21" s="1755">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5">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5">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5">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2078</v>
      </c>
      <c r="B31" s="733">
        <v>41577</v>
      </c>
      <c r="C31" s="734">
        <v>4285000</v>
      </c>
      <c r="D31" s="735">
        <v>7</v>
      </c>
      <c r="E31" s="734">
        <v>3130000</v>
      </c>
      <c r="F31" s="734"/>
      <c r="G31" s="734"/>
      <c r="H31" s="734">
        <v>305000</v>
      </c>
      <c r="I31" s="1756">
        <f>((E31+F31)-H31)+G31</f>
        <v>2825000</v>
      </c>
      <c r="J31" s="734">
        <v>2825000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4285000</v>
      </c>
      <c r="D49" s="745"/>
      <c r="E49" s="1756">
        <f t="shared" ref="E49:J49" si="2">SUM(E31:E48)</f>
        <v>3130000</v>
      </c>
      <c r="F49" s="1756">
        <f t="shared" si="2"/>
        <v>0</v>
      </c>
      <c r="G49" s="1756">
        <f t="shared" si="2"/>
        <v>0</v>
      </c>
      <c r="H49" s="1756">
        <f t="shared" si="2"/>
        <v>305000</v>
      </c>
      <c r="I49" s="1756">
        <f t="shared" si="2"/>
        <v>2825000</v>
      </c>
      <c r="J49" s="1756">
        <f t="shared" si="2"/>
        <v>2825000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t="s">
        <v>2079</v>
      </c>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C9" sqref="C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1962</v>
      </c>
      <c r="B3" s="2222"/>
      <c r="C3" s="2222"/>
      <c r="D3" s="2222"/>
      <c r="E3" s="2223"/>
      <c r="F3" s="763"/>
      <c r="G3" s="764"/>
      <c r="H3" s="764"/>
      <c r="I3" s="764"/>
      <c r="J3" s="765"/>
      <c r="K3" s="765"/>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7"/>
      <c r="G12" s="1758">
        <f>SUM(G5:G11)</f>
        <v>0</v>
      </c>
      <c r="H12" s="1758">
        <f>SUM(H5:H11)</f>
        <v>0</v>
      </c>
      <c r="I12" s="1758">
        <f>SUM(I5:I11)</f>
        <v>0</v>
      </c>
      <c r="J12" s="1758">
        <f>SUM(J5:J11)</f>
        <v>0</v>
      </c>
      <c r="K12" s="1758">
        <f>SUM(K5:K11)</f>
        <v>0</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c r="I14" s="771"/>
      <c r="J14" s="773"/>
      <c r="K14" s="765"/>
    </row>
    <row r="15" spans="1:11" x14ac:dyDescent="0.2">
      <c r="A15" s="2215" t="s">
        <v>4</v>
      </c>
      <c r="B15" s="2215"/>
      <c r="C15" s="2215"/>
      <c r="D15" s="2215"/>
      <c r="E15" s="2243"/>
      <c r="F15" s="789" t="s">
        <v>855</v>
      </c>
      <c r="G15" s="771"/>
      <c r="H15" s="764"/>
      <c r="I15" s="764"/>
      <c r="J15" s="765"/>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9"/>
      <c r="G21" s="792"/>
      <c r="H21" s="796"/>
      <c r="I21" s="796"/>
      <c r="J21" s="1760">
        <f>SUM(J18:J20)</f>
        <v>0</v>
      </c>
      <c r="K21" s="793"/>
    </row>
    <row r="22" spans="1:11" ht="13.5" thickTop="1" x14ac:dyDescent="0.2">
      <c r="A22" s="2215" t="s">
        <v>1815</v>
      </c>
      <c r="B22" s="2215"/>
      <c r="C22" s="2215"/>
      <c r="D22" s="2215"/>
      <c r="E22" s="2243"/>
      <c r="F22" s="789" t="s">
        <v>862</v>
      </c>
      <c r="G22" s="782"/>
      <c r="H22" s="764"/>
      <c r="I22" s="764"/>
      <c r="J22" s="797"/>
      <c r="K22" s="765"/>
    </row>
    <row r="23" spans="1:11" ht="13.5" thickBot="1" x14ac:dyDescent="0.25">
      <c r="A23" s="2236" t="s">
        <v>906</v>
      </c>
      <c r="B23" s="2235"/>
      <c r="C23" s="2235"/>
      <c r="D23" s="2235"/>
      <c r="E23" s="2235"/>
      <c r="F23" s="1761"/>
      <c r="G23" s="1758">
        <f>SUM(G14:G16,G21,G22)</f>
        <v>0</v>
      </c>
      <c r="H23" s="1758">
        <f>SUM(H14:H16,H21,H22)</f>
        <v>0</v>
      </c>
      <c r="I23" s="1758">
        <f>SUM(I14:I16,I21,I22)</f>
        <v>0</v>
      </c>
      <c r="J23" s="1758">
        <f>SUM(J14:J16,J21,J22)</f>
        <v>0</v>
      </c>
      <c r="K23" s="1758">
        <f>SUM(K14:K16,K21,K22)</f>
        <v>0</v>
      </c>
    </row>
    <row r="24" spans="1:11" ht="14.25" thickTop="1" thickBot="1" x14ac:dyDescent="0.25">
      <c r="A24" s="2236" t="s">
        <v>1963</v>
      </c>
      <c r="B24" s="2235"/>
      <c r="C24" s="2235"/>
      <c r="D24" s="2235"/>
      <c r="E24" s="223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C9" sqref="C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5131509</v>
      </c>
      <c r="D8" s="844"/>
      <c r="E8" s="844"/>
      <c r="F8" s="1760">
        <f>(C8+D8)-E8</f>
        <v>5131509</v>
      </c>
      <c r="G8" s="843">
        <v>50</v>
      </c>
      <c r="H8" s="765"/>
      <c r="I8" s="765"/>
      <c r="J8" s="765"/>
      <c r="K8" s="1769">
        <f>(H8+I8)-J8</f>
        <v>0</v>
      </c>
      <c r="L8" s="1769">
        <f>F8-K8</f>
        <v>5131509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310855</v>
      </c>
      <c r="D12" s="844">
        <v>12282</v>
      </c>
      <c r="E12" s="844">
        <v>97339</v>
      </c>
      <c r="F12" s="1760">
        <f>(C12+D12)-E12</f>
        <v>225798</v>
      </c>
      <c r="G12" s="843">
        <v>10</v>
      </c>
      <c r="H12" s="765"/>
      <c r="I12" s="765"/>
      <c r="J12" s="765"/>
      <c r="K12" s="1769">
        <f>(H12+I12)-J12</f>
        <v>0</v>
      </c>
      <c r="L12" s="1769">
        <f>F12-K12</f>
        <v>225798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5442364</v>
      </c>
      <c r="D16" s="1760">
        <f>SUM(D3,D5:D6,D8:D10,D12:D15)</f>
        <v>12282</v>
      </c>
      <c r="E16" s="1760">
        <f>SUM(E3,E5:E6,E8:E10,E12:E15)</f>
        <v>97339</v>
      </c>
      <c r="F16" s="1760">
        <f>SUM(F3,F5:F6,F8:F10,F12:F15)</f>
        <v>5357307</v>
      </c>
      <c r="G16" s="843"/>
      <c r="H16" s="1760">
        <f>SUM(H3,H6,H8:H10,H12:H14,)</f>
        <v>0</v>
      </c>
      <c r="I16" s="1760">
        <f>SUM(I3,I6,I8:I10,I12:I14,)</f>
        <v>0</v>
      </c>
      <c r="J16" s="1760">
        <f>SUM(J3,J6,J8:J10,J12:J14,)</f>
        <v>0</v>
      </c>
      <c r="K16" s="1760">
        <f>(H16+I16)-J16</f>
        <v>0</v>
      </c>
      <c r="L16" s="1760">
        <f>F16-K16</f>
        <v>5357307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6" activePane="bottomLeft" state="frozen"/>
      <selection activeCell="C9" sqref="C9"/>
      <selection pane="bottomLeft" activeCell="C9" sqref="C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2448026</v>
      </c>
      <c r="G8" s="865"/>
    </row>
    <row r="9" spans="1:7" x14ac:dyDescent="0.2">
      <c r="A9" s="869" t="s">
        <v>460</v>
      </c>
      <c r="B9" s="870" t="s">
        <v>1876</v>
      </c>
      <c r="C9" s="871"/>
      <c r="D9" s="869" t="s">
        <v>501</v>
      </c>
      <c r="E9" s="868"/>
      <c r="F9" s="1909">
        <f>'Expenditures 15-22'!K151</f>
        <v>6291</v>
      </c>
      <c r="G9" s="872"/>
    </row>
    <row r="10" spans="1:7" x14ac:dyDescent="0.2">
      <c r="A10" s="869" t="s">
        <v>499</v>
      </c>
      <c r="B10" s="870" t="s">
        <v>1877</v>
      </c>
      <c r="C10" s="871"/>
      <c r="D10" s="869" t="s">
        <v>501</v>
      </c>
      <c r="E10" s="868"/>
      <c r="F10" s="1909">
        <f>'Expenditures 15-22'!K174</f>
        <v>401918</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2856235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931700</v>
      </c>
      <c r="G53" s="865"/>
    </row>
    <row r="54" spans="1:7" x14ac:dyDescent="0.2">
      <c r="A54" s="869" t="s">
        <v>459</v>
      </c>
      <c r="B54" s="869" t="s">
        <v>1476</v>
      </c>
      <c r="C54" s="889" t="s">
        <v>982</v>
      </c>
      <c r="D54" s="885" t="s">
        <v>1095</v>
      </c>
      <c r="E54" s="868"/>
      <c r="F54" s="1913">
        <f>'Expenditures 15-22'!G114</f>
        <v>23736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305000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1260436</v>
      </c>
      <c r="G76" s="865"/>
    </row>
    <row r="77" spans="1:8" s="893" customFormat="1" ht="12" customHeight="1" thickTop="1" thickBot="1" x14ac:dyDescent="0.25">
      <c r="A77" s="1779"/>
      <c r="B77" s="1776"/>
      <c r="C77" s="1772"/>
      <c r="D77" s="1777" t="s">
        <v>1899</v>
      </c>
      <c r="E77" s="1774"/>
      <c r="F77" s="1780">
        <f>(F14-F76)</f>
        <v>1595799</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514</v>
      </c>
      <c r="G94" s="912"/>
    </row>
    <row r="95" spans="1:7" x14ac:dyDescent="0.2">
      <c r="A95" s="908" t="s">
        <v>140</v>
      </c>
      <c r="B95" s="908" t="s">
        <v>175</v>
      </c>
      <c r="C95" s="910">
        <v>1700</v>
      </c>
      <c r="D95" s="918" t="str">
        <f>'Revenues 9-14'!A82</f>
        <v>Total District/School Activity Income</v>
      </c>
      <c r="E95" s="906"/>
      <c r="F95" s="1789">
        <f>SUM('Revenues 9-14'!C82,'Revenues 9-14'!D82)</f>
        <v>19966</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28000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428475</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361820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515</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111761</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33347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158189</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1142587</v>
      </c>
    </row>
    <row r="175" spans="1:7" ht="12" customHeight="1" x14ac:dyDescent="0.2">
      <c r="A175" s="1770"/>
      <c r="B175" s="1784"/>
      <c r="C175" s="1785"/>
      <c r="D175" s="1786" t="s">
        <v>2055</v>
      </c>
      <c r="E175" s="1787"/>
      <c r="F175" s="1789">
        <f>'PCTC-OEPP 27-28'!F77-F174</f>
        <v>453212</v>
      </c>
    </row>
    <row r="176" spans="1:7" ht="12" customHeight="1" x14ac:dyDescent="0.2">
      <c r="A176" s="1770"/>
      <c r="B176" s="1784"/>
      <c r="C176" s="1785"/>
      <c r="D176" s="1786" t="s">
        <v>1817</v>
      </c>
      <c r="E176" s="1787"/>
      <c r="F176" s="1789">
        <f>'Cap Outlay Deprec 26'!I18</f>
        <v>0</v>
      </c>
    </row>
    <row r="177" spans="1:7" ht="12" customHeight="1" x14ac:dyDescent="0.2">
      <c r="A177" s="1770"/>
      <c r="B177" s="1784"/>
      <c r="C177" s="1785"/>
      <c r="D177" s="1786" t="s">
        <v>2056</v>
      </c>
      <c r="E177" s="1787"/>
      <c r="F177" s="1789">
        <f>F175+F176</f>
        <v>453212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2"/>
  <sheetViews>
    <sheetView showGridLines="0" topLeftCell="A10" zoomScaleNormal="100" workbookViewId="0">
      <selection activeCell="C9" sqref="C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2080</v>
      </c>
      <c r="B18" s="1936"/>
      <c r="C18" s="1656"/>
      <c r="D18" s="1844"/>
      <c r="E18" s="1540">
        <f t="shared" ref="E18:E142" si="0">IF(D18&lt;=25000,D18,IF(D18&gt;25000,25000,0))</f>
        <v>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3"/>
      <c r="C19" s="1656"/>
      <c r="D19" s="1844"/>
      <c r="E19" s="1540">
        <f t="shared" ref="E19:E141" si="2">IF(D19&lt;=25000,D19,IF(D19&gt;25000,25000,0))</f>
        <v>0</v>
      </c>
      <c r="F19" s="1937">
        <f t="shared" si="1"/>
        <v>0</v>
      </c>
      <c r="G19" s="1793">
        <f t="shared" ref="G19:G141" si="3">IF(F19=0,0,D19-F19)</f>
        <v>0</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C9" sqref="C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8" t="s">
        <v>1975</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984450</v>
      </c>
      <c r="F19" s="1799"/>
      <c r="G19" s="1801">
        <f>'Expenditures 15-22'!K33-SUM('Expenditures 15-22'!G33,'Expenditures 15-22'!I33)+'Expenditures 15-22'!D229</f>
        <v>984450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43906</v>
      </c>
      <c r="F21" s="1802"/>
      <c r="G21" s="1805">
        <f>'Expenditures 15-22'!K42-SUM('Expenditures 15-22'!G42,'Expenditures 15-22'!I42)+'Expenditures 15-22'!K120-SUM('Expenditures 15-22'!G120,'Expenditures 15-22'!I120)+'Expenditures 15-22'!K180-SUM('Expenditures 15-22'!G180,'Expenditures 15-22'!I180)+'Expenditures 15-22'!D238</f>
        <v>43906</v>
      </c>
      <c r="H21" s="987"/>
      <c r="I21" s="162"/>
    </row>
    <row r="22" spans="1:9" s="668" customFormat="1" ht="12" customHeight="1" x14ac:dyDescent="0.2">
      <c r="A22" s="994" t="s">
        <v>564</v>
      </c>
      <c r="B22" s="995"/>
      <c r="C22" s="993">
        <v>2200</v>
      </c>
      <c r="D22" s="1802"/>
      <c r="E22" s="1804">
        <f>'Expenditures 15-22'!K47-SUM('Expenditures 15-22'!G47,'Expenditures 15-22'!I47)+'Expenditures 15-22'!D243</f>
        <v>89145</v>
      </c>
      <c r="F22" s="1802"/>
      <c r="G22" s="1805">
        <f>'Expenditures 15-22'!K47-SUM('Expenditures 15-22'!G47,'Expenditures 15-22'!I47)+'Expenditures 15-22'!D243</f>
        <v>89145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14973</v>
      </c>
      <c r="F23" s="1802"/>
      <c r="G23" s="1804">
        <f>'Expenditures 15-22'!K53-SUM('Expenditures 15-22'!G53,'Expenditures 15-22'!I53)+'Expenditures 15-22'!D257+'Expenditures 15-22'!K330-SUM('Expenditures 15-22'!G330,'Expenditures 15-22'!I330)</f>
        <v>14973</v>
      </c>
      <c r="H23" s="987"/>
      <c r="I23" s="162"/>
    </row>
    <row r="24" spans="1:9" s="668" customFormat="1" ht="12" customHeight="1" x14ac:dyDescent="0.2">
      <c r="A24" s="994" t="s">
        <v>566</v>
      </c>
      <c r="B24" s="995"/>
      <c r="C24" s="993">
        <v>2400</v>
      </c>
      <c r="D24" s="1802"/>
      <c r="E24" s="1804">
        <f>'Expenditures 15-22'!K57-SUM('Expenditures 15-22'!G57,'Expenditures 15-22'!I57)+'Expenditures 15-22'!D261</f>
        <v>110789</v>
      </c>
      <c r="F24" s="1802"/>
      <c r="G24" s="1805">
        <f>'Expenditures 15-22'!K57-SUM('Expenditures 15-22'!G57,'Expenditures 15-22'!I57)+'Expenditures 15-22'!D261</f>
        <v>110789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199833</v>
      </c>
      <c r="F28" s="1806">
        <f>'Expenditures 15-22'!K61-SUM('Expenditures 15-22'!G61,'Expenditures 15-22'!I61)+'Expenditures 15-22'!K124-SUM('Expenditures 15-22'!G124,'Expenditures 15-22'!I124)+'Expenditures 15-22'!D266-E9</f>
        <v>199833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55785</v>
      </c>
      <c r="F30" s="1802"/>
      <c r="G30" s="1804">
        <f>'Expenditures 15-22'!K63-SUM('Expenditures 15-22'!G63,'Expenditures 15-22'!I63)+'Expenditures 15-22'!D268-E10</f>
        <v>55785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0</v>
      </c>
      <c r="E41" s="1806">
        <f>SUM(E19:E40)</f>
        <v>1498881</v>
      </c>
      <c r="F41" s="1806">
        <f>SUM(F19:F39)</f>
        <v>199833</v>
      </c>
      <c r="G41" s="1806">
        <f>SUM(G19:G40)</f>
        <v>1299048</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0</v>
      </c>
      <c r="F43" s="1807" t="s">
        <v>473</v>
      </c>
      <c r="G43" s="1808">
        <f>F41</f>
        <v>199833</v>
      </c>
    </row>
    <row r="44" spans="1:7" ht="12" customHeight="1" x14ac:dyDescent="0.2">
      <c r="A44" s="987"/>
      <c r="B44" s="162"/>
      <c r="C44" s="1001"/>
      <c r="D44" s="1807" t="s">
        <v>474</v>
      </c>
      <c r="E44" s="1808">
        <f>E41</f>
        <v>1498881</v>
      </c>
      <c r="F44" s="1807" t="s">
        <v>474</v>
      </c>
      <c r="G44" s="1808">
        <f>G41</f>
        <v>1299048</v>
      </c>
    </row>
    <row r="45" spans="1:7" ht="12" customHeight="1" x14ac:dyDescent="0.2">
      <c r="A45" s="987"/>
      <c r="B45" s="162"/>
      <c r="C45" s="162"/>
      <c r="D45" s="1809" t="s">
        <v>1006</v>
      </c>
      <c r="E45" s="1810">
        <f>(E43/E44)</f>
        <v>0</v>
      </c>
      <c r="F45" s="1809" t="s">
        <v>1006</v>
      </c>
      <c r="G45" s="1810">
        <f>(G43/G44)</f>
        <v>0.1538303434515122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5" activePane="bottomLeft" state="frozen"/>
      <selection activeCell="C9" sqref="C9"/>
      <selection pane="bottomLeft" activeCell="C9" sqref="C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4" t="s">
        <v>1379</v>
      </c>
      <c r="B1" s="2294"/>
      <c r="C1" s="2294"/>
      <c r="D1" s="2294"/>
      <c r="E1" s="2294"/>
      <c r="F1" s="2294"/>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5" t="s">
        <v>1546</v>
      </c>
      <c r="B5" s="2296"/>
      <c r="C5" s="2297"/>
      <c r="D5" s="2297"/>
      <c r="E5" s="2297"/>
      <c r="F5" s="2297"/>
    </row>
    <row r="6" spans="1:10" ht="12" customHeight="1" x14ac:dyDescent="0.25">
      <c r="A6" s="1850"/>
      <c r="B6" s="1851"/>
      <c r="C6" s="2298" t="str">
        <f>COVER!A17</f>
        <v>Kishwaukee Educ Consortium</v>
      </c>
      <c r="D6" s="2298"/>
      <c r="E6" s="2298"/>
      <c r="F6" s="1852"/>
    </row>
    <row r="7" spans="1:10" ht="11.25" customHeight="1" thickBot="1" x14ac:dyDescent="0.3">
      <c r="A7" s="1850"/>
      <c r="B7" s="1851"/>
      <c r="C7" s="2299">
        <f>COVER!A13</f>
        <v>16000000046</v>
      </c>
      <c r="D7" s="2299"/>
      <c r="E7" s="2299"/>
      <c r="F7" s="1852"/>
    </row>
    <row r="8" spans="1:10" ht="25.5" customHeight="1" thickBot="1" x14ac:dyDescent="0.25">
      <c r="A8" s="1893" t="s">
        <v>1907</v>
      </c>
      <c r="B8" s="1853" t="s">
        <v>2065</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C9" sqref="C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Kishwaukee Educ Consortium</v>
      </c>
      <c r="J6" s="2319"/>
      <c r="Q6" s="1664"/>
    </row>
    <row r="7" spans="1:17" x14ac:dyDescent="0.2">
      <c r="A7" s="2320" t="s">
        <v>869</v>
      </c>
      <c r="B7" s="2321"/>
      <c r="C7" s="2321"/>
      <c r="D7" s="2321"/>
      <c r="E7" s="2322"/>
      <c r="F7" s="1017"/>
      <c r="G7" s="1009"/>
      <c r="H7" s="1016" t="s">
        <v>372</v>
      </c>
      <c r="I7" s="2323">
        <f>COVER!A13</f>
        <v>16000000046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14973</v>
      </c>
      <c r="F12" s="1039"/>
      <c r="G12" s="1811">
        <f t="shared" ref="G12:G18" si="0">SUM(E12:F12)</f>
        <v>14973</v>
      </c>
      <c r="H12" s="1040">
        <v>197456</v>
      </c>
      <c r="I12" s="1039"/>
      <c r="J12" s="1811">
        <f t="shared" ref="J12:J18" si="1">SUM(H12:I12)</f>
        <v>197456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14973</v>
      </c>
      <c r="F19" s="1813">
        <f t="shared" si="2"/>
        <v>0</v>
      </c>
      <c r="G19" s="1813">
        <f t="shared" si="2"/>
        <v>14973</v>
      </c>
      <c r="H19" s="1813">
        <f t="shared" si="2"/>
        <v>197456</v>
      </c>
      <c r="I19" s="1813">
        <f t="shared" si="2"/>
        <v>0</v>
      </c>
      <c r="J19" s="1813">
        <f t="shared" si="2"/>
        <v>197456</v>
      </c>
    </row>
    <row r="20" spans="1:10" ht="13.5" thickTop="1" x14ac:dyDescent="0.2">
      <c r="A20" s="1035">
        <v>9</v>
      </c>
      <c r="B20" s="2330" t="s">
        <v>1979</v>
      </c>
      <c r="C20" s="2330"/>
      <c r="D20" s="2331"/>
      <c r="E20" s="1046"/>
      <c r="F20" s="1046"/>
      <c r="G20" s="1046"/>
      <c r="H20" s="1046"/>
      <c r="I20" s="1046"/>
      <c r="J20" s="1814">
        <f>IF(AND(G19&gt;0,J19&gt;0),(((J19-G19)/G19)),"Enter Budget Data")</f>
        <v>12.187470780738662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C9" sqref="C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2081</v>
      </c>
    </row>
    <row r="6" spans="1:2" x14ac:dyDescent="0.2">
      <c r="A6" s="1068">
        <v>2</v>
      </c>
      <c r="B6" s="329" t="s">
        <v>2082</v>
      </c>
    </row>
    <row r="7" spans="1:2" x14ac:dyDescent="0.2">
      <c r="A7" s="1068">
        <v>3</v>
      </c>
      <c r="B7" s="329" t="s">
        <v>2083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Kishwaukee Educ Consortium</v>
      </c>
    </row>
    <row r="65" spans="2:2" x14ac:dyDescent="0.2">
      <c r="B65" s="1070">
        <f>COVER!A13</f>
        <v>16000000046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C9" sqref="C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9" sqref="C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C9" sqref="C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2305978</v>
      </c>
      <c r="C8" s="1815">
        <f>'Acct Summary 7-8'!D8</f>
        <v>9904</v>
      </c>
      <c r="D8" s="1815">
        <f>'Acct Summary 7-8'!F8</f>
        <v>0</v>
      </c>
      <c r="E8" s="1815">
        <f>'Acct Summary 7-8'!I8</f>
        <v>0</v>
      </c>
      <c r="F8" s="1815">
        <f>SUM(B8:E8)</f>
        <v>2315882</v>
      </c>
    </row>
    <row r="9" spans="1:8" s="1079" customFormat="1" ht="14.25" customHeight="1" thickBot="1" x14ac:dyDescent="0.25">
      <c r="A9" s="1078" t="s">
        <v>1369</v>
      </c>
      <c r="B9" s="1816">
        <f>'Acct Summary 7-8'!C17</f>
        <v>2448026</v>
      </c>
      <c r="C9" s="1816">
        <f>'Acct Summary 7-8'!D17</f>
        <v>6291</v>
      </c>
      <c r="D9" s="1816">
        <f>'Acct Summary 7-8'!F17</f>
        <v>0</v>
      </c>
      <c r="E9" s="1815"/>
      <c r="F9" s="1815">
        <f>SUM(B9:E9)</f>
        <v>2454317</v>
      </c>
    </row>
    <row r="10" spans="1:8" s="1079" customFormat="1" ht="14.25" thickTop="1" thickBot="1" x14ac:dyDescent="0.25">
      <c r="A10" s="1080" t="s">
        <v>1370</v>
      </c>
      <c r="B10" s="1817">
        <f>(B8-B9)</f>
        <v>-142048</v>
      </c>
      <c r="C10" s="1817">
        <f>(C8-C9)</f>
        <v>3613</v>
      </c>
      <c r="D10" s="1817">
        <f>(D8-D9)</f>
        <v>0</v>
      </c>
      <c r="E10" s="1816">
        <f>(E8-E9)</f>
        <v>0</v>
      </c>
      <c r="F10" s="1818">
        <f>SUM(F8-F9)</f>
        <v>-138435</v>
      </c>
    </row>
    <row r="11" spans="1:8" s="1079" customFormat="1" ht="14.25" thickTop="1" thickBot="1" x14ac:dyDescent="0.25">
      <c r="A11" s="1081" t="s">
        <v>1983</v>
      </c>
      <c r="B11" s="1819">
        <f>'Acct Summary 7-8'!C81</f>
        <v>12643</v>
      </c>
      <c r="C11" s="1819">
        <f>'Acct Summary 7-8'!D81</f>
        <v>198167</v>
      </c>
      <c r="D11" s="1819">
        <f>'Acct Summary 7-8'!F81</f>
        <v>0</v>
      </c>
      <c r="E11" s="1819">
        <f>'Acct Summary 7-8'!I81</f>
        <v>0</v>
      </c>
      <c r="F11" s="1820">
        <f>SUM(B11:E11)</f>
        <v>210810</v>
      </c>
    </row>
    <row r="12" spans="1:8" ht="16.5" customHeight="1" thickTop="1" x14ac:dyDescent="0.2">
      <c r="A12" s="1082"/>
      <c r="B12" s="1083"/>
      <c r="C12" s="234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C9" sqref="C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16000000046</v>
      </c>
    </row>
    <row r="3" spans="1:2" x14ac:dyDescent="0.2">
      <c r="A3" t="s">
        <v>956</v>
      </c>
      <c r="B3" s="138" t="str">
        <f>COVER!A15</f>
        <v>Dekalb</v>
      </c>
    </row>
    <row r="4" spans="1:2" x14ac:dyDescent="0.2">
      <c r="A4" t="s">
        <v>1007</v>
      </c>
      <c r="B4" s="138" t="str">
        <f>COVER!A17</f>
        <v>Kishwaukee Educ Consortium</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066-003284</v>
      </c>
    </row>
    <row r="16" spans="1:2" x14ac:dyDescent="0.2">
      <c r="A16" t="s">
        <v>422</v>
      </c>
      <c r="B16" s="138" t="str">
        <f>COVER!T13</f>
        <v>Sikich LLP</v>
      </c>
    </row>
    <row r="17" spans="1:2" x14ac:dyDescent="0.2">
      <c r="A17" t="s">
        <v>884</v>
      </c>
      <c r="B17" s="138" t="str">
        <f>COVER!T15</f>
        <v>Brian D. LeFevre, Partner</v>
      </c>
    </row>
    <row r="18" spans="1:2" x14ac:dyDescent="0.2">
      <c r="A18" t="s">
        <v>1150</v>
      </c>
      <c r="B18" s="138" t="str">
        <f>COVER!T17</f>
        <v>1415 W. Diehl Rd, Suite 400</v>
      </c>
    </row>
    <row r="19" spans="1:2" x14ac:dyDescent="0.2">
      <c r="A19" t="s">
        <v>886</v>
      </c>
      <c r="B19" s="138" t="str">
        <f>COVER!T25</f>
        <v>brian.lefevre@sikich.com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630-566-8400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535214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500000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522571</v>
      </c>
      <c r="C91" s="2" t="s">
        <v>573</v>
      </c>
      <c r="D91" s="2" t="str">
        <f t="shared" si="0"/>
        <v>Error?</v>
      </c>
    </row>
    <row r="92" spans="1:4" x14ac:dyDescent="0.2">
      <c r="A92" s="5">
        <v>31</v>
      </c>
      <c r="B92" s="138">
        <f>'Assets-Liab 5-6'!C39</f>
        <v>12643</v>
      </c>
      <c r="D92" s="2" t="str">
        <f t="shared" si="0"/>
        <v>Error?</v>
      </c>
    </row>
    <row r="93" spans="1:4" x14ac:dyDescent="0.2">
      <c r="A93" s="5">
        <v>32</v>
      </c>
      <c r="B93" s="138">
        <f>'Assets-Liab 5-6'!C41</f>
        <v>535214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182174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198167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198167</v>
      </c>
      <c r="D123" s="2" t="str">
        <f t="shared" si="0"/>
        <v>Error?</v>
      </c>
    </row>
    <row r="124" spans="1:4" x14ac:dyDescent="0.2">
      <c r="A124" s="5">
        <v>63</v>
      </c>
      <c r="B124" s="138">
        <f>'Assets-Liab 5-6'!D41</f>
        <v>198167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5131509</v>
      </c>
      <c r="D274" s="2" t="str">
        <f t="shared" si="3"/>
        <v>Error?</v>
      </c>
    </row>
    <row r="275" spans="1:4" x14ac:dyDescent="0.2">
      <c r="A275" s="5">
        <v>214</v>
      </c>
      <c r="B275" s="138">
        <f>'Assets-Liab 5-6'!M18</f>
        <v>0</v>
      </c>
      <c r="D275" s="2" t="str">
        <f t="shared" si="3"/>
        <v>Error?</v>
      </c>
    </row>
    <row r="276" spans="1:4" x14ac:dyDescent="0.2">
      <c r="A276" s="5">
        <v>215</v>
      </c>
      <c r="B276" s="138">
        <f>'Assets-Liab 5-6'!M19</f>
        <v>225798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5357307</v>
      </c>
      <c r="C279" s="2" t="s">
        <v>573</v>
      </c>
      <c r="D279" s="2" t="str">
        <f t="shared" si="3"/>
        <v>Error?</v>
      </c>
    </row>
    <row r="280" spans="1:4" x14ac:dyDescent="0.2">
      <c r="A280" s="5">
        <v>219</v>
      </c>
      <c r="B280" s="138">
        <f>'Assets-Liab 5-6'!M40</f>
        <v>5357307</v>
      </c>
      <c r="D280" s="2" t="str">
        <f t="shared" si="3"/>
        <v>Error?</v>
      </c>
    </row>
    <row r="281" spans="1:4" x14ac:dyDescent="0.2">
      <c r="A281" s="5">
        <v>220</v>
      </c>
      <c r="B281" s="138">
        <f>'Assets-Liab 5-6'!M41</f>
        <v>5357307</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2825000</v>
      </c>
      <c r="D283" s="2" t="str">
        <f t="shared" si="3"/>
        <v>Error?</v>
      </c>
    </row>
    <row r="284" spans="1:4" x14ac:dyDescent="0.2">
      <c r="A284" s="5">
        <v>223</v>
      </c>
      <c r="B284" s="138">
        <f>'Assets-Liab 5-6'!N23</f>
        <v>2825000</v>
      </c>
      <c r="C284" s="2" t="s">
        <v>573</v>
      </c>
      <c r="D284" s="2" t="str">
        <f t="shared" si="3"/>
        <v>Error?</v>
      </c>
    </row>
    <row r="285" spans="1:4" x14ac:dyDescent="0.2">
      <c r="A285" s="5">
        <v>224</v>
      </c>
      <c r="B285" s="138">
        <f>'Assets-Liab 5-6'!N36</f>
        <v>2825000</v>
      </c>
      <c r="D285" s="2" t="str">
        <f t="shared" si="3"/>
        <v>Error?</v>
      </c>
    </row>
    <row r="286" spans="1:4" x14ac:dyDescent="0.2">
      <c r="A286" s="10">
        <v>225</v>
      </c>
      <c r="D286" s="2" t="str">
        <f t="shared" si="3"/>
        <v>OK</v>
      </c>
    </row>
    <row r="287" spans="1:4" x14ac:dyDescent="0.2">
      <c r="A287" s="5">
        <v>226</v>
      </c>
      <c r="B287" s="138">
        <f>'Assets-Liab 5-6'!N37</f>
        <v>2825000</v>
      </c>
      <c r="C287" s="2" t="s">
        <v>573</v>
      </c>
      <c r="D287" s="2" t="str">
        <f t="shared" si="3"/>
        <v>Error?</v>
      </c>
    </row>
    <row r="288" spans="1:4" x14ac:dyDescent="0.2">
      <c r="A288" s="5">
        <v>227</v>
      </c>
      <c r="B288" s="138">
        <f>'Assets-Liab 5-6'!N41</f>
        <v>2825000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425027</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890579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42521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42521</v>
      </c>
      <c r="C843" s="2" t="s">
        <v>573</v>
      </c>
      <c r="D843" s="2" t="str">
        <f t="shared" si="12"/>
        <v>Error?</v>
      </c>
    </row>
    <row r="844" spans="1:4" x14ac:dyDescent="0.2">
      <c r="A844" s="5">
        <v>783</v>
      </c>
      <c r="B844" s="138">
        <f>'Expenditures 15-22'!E44</f>
        <v>88098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88098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14492</v>
      </c>
      <c r="D849" s="2" t="str">
        <f t="shared" si="12"/>
        <v>Error?</v>
      </c>
    </row>
    <row r="850" spans="1:4" x14ac:dyDescent="0.2">
      <c r="A850" s="5">
        <v>789</v>
      </c>
      <c r="B850" s="138">
        <f>'Expenditures 15-22'!E53</f>
        <v>14492</v>
      </c>
      <c r="C850" s="2" t="s">
        <v>573</v>
      </c>
      <c r="D850" s="2" t="str">
        <f t="shared" si="12"/>
        <v>Error?</v>
      </c>
    </row>
    <row r="851" spans="1:4" x14ac:dyDescent="0.2">
      <c r="A851" s="5">
        <v>790</v>
      </c>
      <c r="B851" s="138">
        <f>'Expenditures 15-22'!E55</f>
        <v>79144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79144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139400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16401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155801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380056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2202335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64294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73971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668</v>
      </c>
      <c r="D896" s="2" t="str">
        <f t="shared" si="13"/>
        <v>Error?</v>
      </c>
    </row>
    <row r="897" spans="1:4" x14ac:dyDescent="0.2">
      <c r="A897" s="5">
        <v>836</v>
      </c>
      <c r="B897" s="138">
        <f>'Expenditures 15-22'!F38</f>
        <v>0</v>
      </c>
      <c r="D897" s="2" t="str">
        <f t="shared" si="13"/>
        <v>Error?</v>
      </c>
    </row>
    <row r="898" spans="1:4" x14ac:dyDescent="0.2">
      <c r="A898" s="5">
        <v>837</v>
      </c>
      <c r="B898" s="138">
        <f>'Expenditures 15-22'!F39</f>
        <v>717</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1385</v>
      </c>
      <c r="C901" s="2" t="s">
        <v>573</v>
      </c>
      <c r="D901" s="2" t="str">
        <f t="shared" si="13"/>
        <v>Error?</v>
      </c>
    </row>
    <row r="902" spans="1:4" x14ac:dyDescent="0.2">
      <c r="A902" s="5">
        <v>841</v>
      </c>
      <c r="B902" s="138">
        <f>'Expenditures 15-22'!F44</f>
        <v>1047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1047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481</v>
      </c>
      <c r="D907" s="2" t="str">
        <f t="shared" si="13"/>
        <v>Error?</v>
      </c>
    </row>
    <row r="908" spans="1:4" x14ac:dyDescent="0.2">
      <c r="A908" s="5">
        <v>847</v>
      </c>
      <c r="B908" s="138">
        <f>'Expenditures 15-22'!F53</f>
        <v>481</v>
      </c>
      <c r="C908" s="2" t="s">
        <v>573</v>
      </c>
      <c r="D908" s="2" t="str">
        <f t="shared" si="13"/>
        <v>Error?</v>
      </c>
    </row>
    <row r="909" spans="1:4" x14ac:dyDescent="0.2">
      <c r="A909" s="5">
        <v>848</v>
      </c>
      <c r="B909" s="138">
        <f>'Expenditures 15-22'!F55</f>
        <v>31645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31645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54142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39384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93526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128084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202055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19636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19636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1525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1525</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2575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2575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23736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19900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19900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19900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528857</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1004086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668</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43238</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43906</v>
      </c>
      <c r="C1115" s="2" t="s">
        <v>573</v>
      </c>
      <c r="D1115" s="2" t="str">
        <f t="shared" si="16"/>
        <v>Error?</v>
      </c>
    </row>
    <row r="1116" spans="1:4" x14ac:dyDescent="0.2">
      <c r="A1116" s="5">
        <v>1055</v>
      </c>
      <c r="B1116" s="138">
        <f>'Expenditures 15-22'!K44</f>
        <v>89145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89145</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14973</v>
      </c>
      <c r="C1121" s="2" t="s">
        <v>573</v>
      </c>
      <c r="D1121" s="2" t="str">
        <f t="shared" si="16"/>
        <v>Error?</v>
      </c>
    </row>
    <row r="1122" spans="1:4" x14ac:dyDescent="0.2">
      <c r="A1122" s="5">
        <v>1061</v>
      </c>
      <c r="B1122" s="138">
        <f>'Expenditures 15-22'!K53</f>
        <v>14973</v>
      </c>
      <c r="C1122" s="2" t="s">
        <v>573</v>
      </c>
      <c r="D1122" s="2" t="str">
        <f t="shared" si="16"/>
        <v>Error?</v>
      </c>
    </row>
    <row r="1123" spans="1:4" x14ac:dyDescent="0.2">
      <c r="A1123" s="5">
        <v>1062</v>
      </c>
      <c r="B1123" s="138">
        <f>'Expenditures 15-22'!K55</f>
        <v>112314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112314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193542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58360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251902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512240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931700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2448026</v>
      </c>
      <c r="C1152" s="2" t="s">
        <v>573</v>
      </c>
      <c r="D1152" s="2" t="str">
        <f t="shared" si="17"/>
        <v>Error?</v>
      </c>
    </row>
    <row r="1153" spans="1:4" x14ac:dyDescent="0.2">
      <c r="A1153" s="5">
        <v>1092</v>
      </c>
      <c r="B1153" s="138">
        <f>'Expenditures 15-22'!K115</f>
        <v>-142048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6291</v>
      </c>
      <c r="D1245" s="2" t="str">
        <f t="shared" si="18"/>
        <v>Error?</v>
      </c>
    </row>
    <row r="1246" spans="1:4" x14ac:dyDescent="0.2">
      <c r="A1246" s="10">
        <v>1185</v>
      </c>
      <c r="D1246" s="2" t="str">
        <f t="shared" si="18"/>
        <v>OK</v>
      </c>
    </row>
    <row r="1247" spans="1:4" x14ac:dyDescent="0.2">
      <c r="A1247" s="5">
        <v>1186</v>
      </c>
      <c r="B1247" s="138">
        <f>'Expenditures 15-22'!F127</f>
        <v>6291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6291</v>
      </c>
      <c r="C1249" s="2" t="s">
        <v>573</v>
      </c>
      <c r="D1249" s="2" t="str">
        <f t="shared" si="18"/>
        <v>Error?</v>
      </c>
    </row>
    <row r="1250" spans="1:4" x14ac:dyDescent="0.2">
      <c r="A1250" s="5">
        <v>1189</v>
      </c>
      <c r="B1250" s="138">
        <f>'Expenditures 15-22'!F151</f>
        <v>6291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6291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6291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6291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6291</v>
      </c>
      <c r="C1288" s="2" t="s">
        <v>573</v>
      </c>
      <c r="D1288" s="2" t="str">
        <f t="shared" si="19"/>
        <v>Error?</v>
      </c>
    </row>
    <row r="1289" spans="1:4" x14ac:dyDescent="0.2">
      <c r="A1289" s="5">
        <v>1228</v>
      </c>
      <c r="B1289" s="138">
        <f>'Expenditures 15-22'!K152</f>
        <v>3613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96918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401918</v>
      </c>
      <c r="C1317" s="2" t="s">
        <v>573</v>
      </c>
      <c r="D1317" s="2" t="str">
        <f t="shared" si="19"/>
        <v>Error?</v>
      </c>
    </row>
    <row r="1318" spans="1:4" x14ac:dyDescent="0.2">
      <c r="A1318" s="5">
        <v>1257</v>
      </c>
      <c r="B1318" s="138">
        <f>'Expenditures 15-22'!H174</f>
        <v>401918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96918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305000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401918</v>
      </c>
      <c r="C1331" s="2" t="s">
        <v>573</v>
      </c>
      <c r="D1331" s="2" t="str">
        <f t="shared" si="19"/>
        <v>Error?</v>
      </c>
    </row>
    <row r="1332" spans="1:4" x14ac:dyDescent="0.2">
      <c r="A1332" s="5">
        <v>1271</v>
      </c>
      <c r="B1332" s="138">
        <f>'Expenditures 15-22'!K174</f>
        <v>401918</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154691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12643</v>
      </c>
      <c r="C1630" s="2" t="s">
        <v>573</v>
      </c>
      <c r="D1630" s="2" t="str">
        <f t="shared" si="24"/>
        <v>Error?</v>
      </c>
    </row>
    <row r="1631" spans="1:4" x14ac:dyDescent="0.2">
      <c r="A1631" s="5">
        <v>1570</v>
      </c>
      <c r="B1631" s="138">
        <f>'Acct Summary 7-8'!D79</f>
        <v>194554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198167</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3130000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5131509</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310855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5442364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12282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12282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97339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97339</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5131509</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225798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5357307</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5131509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225798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5357307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931700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1453105</v>
      </c>
      <c r="C2551" s="2" t="s">
        <v>573</v>
      </c>
      <c r="D2551" s="2" t="str">
        <f t="shared" si="38"/>
        <v>Error?</v>
      </c>
    </row>
    <row r="2552" spans="1:4" x14ac:dyDescent="0.2">
      <c r="A2552" s="10">
        <v>2491</v>
      </c>
      <c r="D2552" s="2" t="str">
        <f t="shared" si="38"/>
        <v>OK</v>
      </c>
    </row>
    <row r="2553" spans="1:4" x14ac:dyDescent="0.2">
      <c r="A2553" s="5">
        <v>2492</v>
      </c>
      <c r="B2553" s="138">
        <f>'Acct Summary 7-8'!C6</f>
        <v>661337</v>
      </c>
      <c r="C2553" s="2" t="s">
        <v>573</v>
      </c>
      <c r="D2553" s="2" t="str">
        <f t="shared" si="38"/>
        <v>Error?</v>
      </c>
    </row>
    <row r="2554" spans="1:4" x14ac:dyDescent="0.2">
      <c r="A2554" s="5">
        <v>2493</v>
      </c>
      <c r="B2554" s="138">
        <f>'Acct Summary 7-8'!C7</f>
        <v>191536</v>
      </c>
      <c r="C2554" s="2" t="s">
        <v>573</v>
      </c>
      <c r="D2554" s="2" t="str">
        <f t="shared" si="38"/>
        <v>Error?</v>
      </c>
    </row>
    <row r="2555" spans="1:4" x14ac:dyDescent="0.2">
      <c r="A2555" s="5">
        <v>2494</v>
      </c>
      <c r="B2555" s="138">
        <f>'Acct Summary 7-8'!C8</f>
        <v>2305978</v>
      </c>
      <c r="C2555" s="2" t="s">
        <v>573</v>
      </c>
      <c r="D2555" s="2" t="str">
        <f t="shared" si="38"/>
        <v>Error?</v>
      </c>
    </row>
    <row r="2556" spans="1:4" x14ac:dyDescent="0.2">
      <c r="A2556" s="5">
        <v>2495</v>
      </c>
      <c r="B2556" s="138">
        <f>'Acct Summary 7-8'!C12</f>
        <v>1004086</v>
      </c>
      <c r="C2556" s="2" t="s">
        <v>573</v>
      </c>
      <c r="D2556" s="2" t="str">
        <f t="shared" si="38"/>
        <v>Error?</v>
      </c>
    </row>
    <row r="2557" spans="1:4" x14ac:dyDescent="0.2">
      <c r="A2557" s="5">
        <v>2496</v>
      </c>
      <c r="B2557" s="138">
        <f>'Acct Summary 7-8'!C13</f>
        <v>512240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931700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2448026</v>
      </c>
      <c r="C2561" s="2" t="s">
        <v>573</v>
      </c>
      <c r="D2561" s="2" t="str">
        <f t="shared" si="39"/>
        <v>Error?</v>
      </c>
    </row>
    <row r="2562" spans="1:4" x14ac:dyDescent="0.2">
      <c r="A2562" s="5">
        <v>2501</v>
      </c>
      <c r="B2562" s="138">
        <f>'Acct Summary 7-8'!C20</f>
        <v>-142048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9904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9904</v>
      </c>
      <c r="C2568" s="2" t="s">
        <v>573</v>
      </c>
      <c r="D2568" s="2" t="str">
        <f t="shared" si="39"/>
        <v>Error?</v>
      </c>
    </row>
    <row r="2569" spans="1:4" x14ac:dyDescent="0.2">
      <c r="A2569" s="5">
        <v>2508</v>
      </c>
      <c r="B2569" s="138">
        <f>'Acct Summary 7-8'!D13</f>
        <v>6291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6291</v>
      </c>
      <c r="C2573" s="2" t="s">
        <v>573</v>
      </c>
      <c r="D2573" s="2" t="str">
        <f t="shared" si="39"/>
        <v>Error?</v>
      </c>
    </row>
    <row r="2574" spans="1:4" x14ac:dyDescent="0.2">
      <c r="A2574" s="5">
        <v>2513</v>
      </c>
      <c r="B2574" s="138">
        <f>'Acct Summary 7-8'!D20</f>
        <v>3613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401918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401918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401918</v>
      </c>
      <c r="C2634" s="2" t="s">
        <v>573</v>
      </c>
      <c r="D2634" s="2" t="str">
        <f t="shared" si="40"/>
        <v>Error?</v>
      </c>
    </row>
    <row r="2635" spans="1:4" x14ac:dyDescent="0.2">
      <c r="A2635" s="5">
        <v>2574</v>
      </c>
      <c r="B2635" s="138">
        <f>'Acct Summary 7-8'!E17</f>
        <v>401918</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931700</v>
      </c>
      <c r="C2789" s="2" t="s">
        <v>573</v>
      </c>
      <c r="D2789" s="2" t="str">
        <f t="shared" si="42"/>
        <v>Error?</v>
      </c>
    </row>
    <row r="2790" spans="1:4" x14ac:dyDescent="0.2">
      <c r="A2790" s="5">
        <v>2729</v>
      </c>
      <c r="B2790" s="138">
        <f>'Expenditures 15-22'!E102</f>
        <v>931700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350917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579044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1739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350917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579044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1739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-142048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3613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465552</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9677</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475229</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406364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15993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2305978</v>
      </c>
      <c r="C4122" s="2" t="s">
        <v>573</v>
      </c>
      <c r="D4122" s="2" t="str">
        <f t="shared" si="63"/>
        <v>Error?</v>
      </c>
    </row>
    <row r="4123" spans="1:4" x14ac:dyDescent="0.2">
      <c r="A4123" s="5">
        <v>4062</v>
      </c>
      <c r="B4123" s="138">
        <f>'Acct Summary 7-8'!D10</f>
        <v>9904</v>
      </c>
      <c r="C4123" s="2" t="s">
        <v>573</v>
      </c>
      <c r="D4123" s="2" t="str">
        <f t="shared" si="63"/>
        <v>Error?</v>
      </c>
    </row>
    <row r="4124" spans="1:4" x14ac:dyDescent="0.2">
      <c r="A4124" s="5">
        <v>4063</v>
      </c>
      <c r="B4124" s="138">
        <f>'Acct Summary 7-8'!E10</f>
        <v>401918</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2448026</v>
      </c>
      <c r="C4136" s="2" t="s">
        <v>573</v>
      </c>
      <c r="D4136" s="2" t="str">
        <f t="shared" si="63"/>
        <v>Error?</v>
      </c>
    </row>
    <row r="4137" spans="1:4" x14ac:dyDescent="0.2">
      <c r="A4137" s="5">
        <v>4076</v>
      </c>
      <c r="B4137" s="138">
        <f>'Acct Summary 7-8'!D19</f>
        <v>6291</v>
      </c>
      <c r="C4137" s="2" t="s">
        <v>573</v>
      </c>
      <c r="D4137" s="2" t="str">
        <f t="shared" si="63"/>
        <v>Error?</v>
      </c>
    </row>
    <row r="4138" spans="1:4" x14ac:dyDescent="0.2">
      <c r="A4138" s="5">
        <v>4077</v>
      </c>
      <c r="B4138" s="138">
        <f>'Acct Summary 7-8'!E19</f>
        <v>401918</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2825000</v>
      </c>
      <c r="C4171" s="2" t="s">
        <v>573</v>
      </c>
      <c r="D4171" s="2" t="str">
        <f t="shared" si="64"/>
        <v>Error?</v>
      </c>
    </row>
    <row r="4172" spans="1:4" x14ac:dyDescent="0.2">
      <c r="A4172" s="5">
        <v>4111</v>
      </c>
      <c r="B4172" s="138">
        <f>'Short-Term Long-Term Debt 24'!J49</f>
        <v>2825000</v>
      </c>
      <c r="C4172" s="2" t="s">
        <v>573</v>
      </c>
      <c r="D4172" s="2" t="str">
        <f t="shared" si="64"/>
        <v>Error?</v>
      </c>
    </row>
    <row r="4173" spans="1:4" x14ac:dyDescent="0.2">
      <c r="A4173" s="5">
        <v>4112</v>
      </c>
      <c r="B4173" s="138">
        <f>'Short-Term Long-Term Debt 24'!H49</f>
        <v>305000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210810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158189</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20528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111761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2825000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846290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529624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1375914</v>
      </c>
      <c r="C5087" s="2" t="s">
        <v>573</v>
      </c>
      <c r="D5087" s="2" t="str">
        <f t="shared" si="78"/>
        <v>Error?</v>
      </c>
    </row>
    <row r="5088" spans="1:4" x14ac:dyDescent="0.2">
      <c r="A5088" s="5">
        <v>5027</v>
      </c>
      <c r="B5088" s="138">
        <f>'Revenues 9-14'!C65</f>
        <v>5055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5055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514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514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19966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19966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2403</v>
      </c>
      <c r="D5114" s="2" t="str">
        <f t="shared" si="78"/>
        <v>Error?</v>
      </c>
    </row>
    <row r="5115" spans="1:4" x14ac:dyDescent="0.2">
      <c r="A5115" s="5">
        <v>5054</v>
      </c>
      <c r="B5115" s="138">
        <f>'Revenues 9-14'!C98</f>
        <v>28000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725</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51656</v>
      </c>
      <c r="C5120" s="2" t="s">
        <v>573</v>
      </c>
      <c r="D5120" s="2" t="str">
        <f t="shared" si="79"/>
        <v>Error?</v>
      </c>
    </row>
    <row r="5121" spans="1:4" x14ac:dyDescent="0.2">
      <c r="A5121" s="5">
        <v>5060</v>
      </c>
      <c r="B5121" s="138">
        <f>'Revenues 9-14'!C109</f>
        <v>1453105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187241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187241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361820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361820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515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474096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661337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25367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7980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33347</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158189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191536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191536</v>
      </c>
      <c r="C5326" s="2" t="s">
        <v>573</v>
      </c>
      <c r="D5326" s="2" t="str">
        <f t="shared" si="82"/>
        <v>Error?</v>
      </c>
    </row>
    <row r="5327" spans="1:5" x14ac:dyDescent="0.2">
      <c r="A5327" s="5">
        <v>5266</v>
      </c>
      <c r="B5327" s="138">
        <f>'Revenues 9-14'!C268</f>
        <v>2305978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3875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3875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6029</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6029</v>
      </c>
      <c r="C5355" s="2" t="s">
        <v>573</v>
      </c>
      <c r="D5355" s="2" t="str">
        <f t="shared" si="82"/>
        <v>Error?</v>
      </c>
    </row>
    <row r="5356" spans="1:4" x14ac:dyDescent="0.2">
      <c r="A5356" s="5">
        <v>5295</v>
      </c>
      <c r="B5356" s="138">
        <f>'Revenues 9-14'!D109</f>
        <v>9904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9904</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401918</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401918</v>
      </c>
      <c r="C5526" s="2" t="s">
        <v>573</v>
      </c>
      <c r="D5526" s="2" t="str">
        <f t="shared" si="85"/>
        <v>Error?</v>
      </c>
    </row>
    <row r="5527" spans="1:4" x14ac:dyDescent="0.2">
      <c r="A5527" s="5">
        <v>5466</v>
      </c>
      <c r="B5527" s="138">
        <f>'Revenues 9-14'!E109</f>
        <v>401918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401918</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128850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22571</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-142048</v>
      </c>
      <c r="D6267" s="2" t="str">
        <f t="shared" si="96"/>
        <v>Error?</v>
      </c>
      <c r="E6267" s="2" t="s">
        <v>190</v>
      </c>
    </row>
    <row r="6268" spans="1:5" x14ac:dyDescent="0.2">
      <c r="A6268">
        <v>6207</v>
      </c>
      <c r="B6268" s="138">
        <f>'Acct Summary 7-8'!D82</f>
        <v>3613</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-11.235308075614965</v>
      </c>
      <c r="D6276" s="2" t="str">
        <f t="shared" si="97"/>
        <v>Error?</v>
      </c>
      <c r="E6276" s="2" t="s">
        <v>190</v>
      </c>
    </row>
    <row r="6277" spans="1:5" x14ac:dyDescent="0.2">
      <c r="A6277">
        <v>6216</v>
      </c>
      <c r="B6277" s="138">
        <f>'Acct Summary 7-8'!D83</f>
        <v>1.8232097170568257E-2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1987</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Kishwaukee Educ Consortium</v>
      </c>
      <c r="B7" s="2405"/>
      <c r="C7" s="2405"/>
      <c r="D7" s="2406"/>
      <c r="E7" s="2407">
        <f>COVER!A13</f>
        <v>16000000046</v>
      </c>
      <c r="F7" s="2408"/>
      <c r="G7" s="2414" t="str">
        <f>COVER!T23</f>
        <v>066-003284</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Sikich LLP</v>
      </c>
      <c r="H9" s="2420"/>
      <c r="I9" s="2420"/>
      <c r="J9" s="2420"/>
      <c r="K9" s="2420"/>
      <c r="L9" s="2421"/>
    </row>
    <row r="10" spans="1:29" ht="13.5" customHeight="1" x14ac:dyDescent="0.2">
      <c r="A10" s="2394">
        <f>COVER!A38</f>
        <v>0</v>
      </c>
      <c r="B10" s="2395"/>
      <c r="C10" s="2395"/>
      <c r="D10" s="2395"/>
      <c r="E10" s="2395"/>
      <c r="F10" s="2396"/>
      <c r="G10" s="2388" t="str">
        <f>COVER!T17</f>
        <v>1415 W. Diehl Rd, Suite 400</v>
      </c>
      <c r="H10" s="2389"/>
      <c r="I10" s="2389"/>
      <c r="J10" s="2389"/>
      <c r="K10" s="2389"/>
      <c r="L10" s="2390"/>
    </row>
    <row r="11" spans="1:29" ht="13.5" customHeight="1" x14ac:dyDescent="0.2">
      <c r="A11" s="1184" t="s">
        <v>1519</v>
      </c>
      <c r="B11" s="1185"/>
      <c r="C11" s="1186"/>
      <c r="D11" s="1191"/>
      <c r="E11" s="1186"/>
      <c r="F11" s="1190"/>
      <c r="G11" s="2388" t="str">
        <f>COVER!T19</f>
        <v>Naperville</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brian.lefevre@sikich.com</v>
      </c>
      <c r="J13" s="2401"/>
      <c r="K13" s="2401"/>
      <c r="L13" s="2402"/>
    </row>
    <row r="14" spans="1:29" ht="13.5" customHeight="1" x14ac:dyDescent="0.2">
      <c r="A14" s="2388" t="str">
        <f>COVER!A19</f>
        <v>21255 Malta Road</v>
      </c>
      <c r="B14" s="2389"/>
      <c r="C14" s="2389"/>
      <c r="D14" s="2389"/>
      <c r="E14" s="2389"/>
      <c r="F14" s="2390"/>
      <c r="G14" s="1195" t="s">
        <v>1185</v>
      </c>
      <c r="H14" s="1193"/>
      <c r="I14" s="1193"/>
      <c r="J14" s="1193"/>
      <c r="K14" s="1193"/>
      <c r="L14" s="1194"/>
    </row>
    <row r="15" spans="1:29" ht="13.5" customHeight="1" x14ac:dyDescent="0.2">
      <c r="A15" s="2388" t="str">
        <f>COVER!A21</f>
        <v>Malta</v>
      </c>
      <c r="B15" s="2389"/>
      <c r="C15" s="2389"/>
      <c r="D15" s="2389"/>
      <c r="E15" s="2389"/>
      <c r="F15" s="2390"/>
      <c r="G15" s="2385" t="str">
        <f>COVER!T15</f>
        <v>Brian D. LeFevre, Partner</v>
      </c>
      <c r="H15" s="2386"/>
      <c r="I15" s="2386"/>
      <c r="J15" s="2386"/>
      <c r="K15" s="2386"/>
      <c r="L15" s="2387"/>
    </row>
    <row r="16" spans="1:29" ht="12.2" customHeight="1" x14ac:dyDescent="0.2">
      <c r="A16" s="2410">
        <f>COVER!A25</f>
        <v>60150</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630-566-8400</v>
      </c>
      <c r="H18" s="2405"/>
      <c r="I18" s="2405"/>
      <c r="J18" s="2405"/>
      <c r="K18" s="2404" t="str">
        <f>COVER!X21</f>
        <v>630-566-8401</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Kishwaukee Educ Consortium</v>
      </c>
      <c r="B1" s="2403"/>
      <c r="C1" s="2403"/>
      <c r="D1" s="2403"/>
    </row>
    <row r="2" spans="1:11" s="1212" customFormat="1" ht="12.75" x14ac:dyDescent="0.2">
      <c r="A2" s="2427">
        <f>'Single Audit Cover'!E7</f>
        <v>16000000046</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Kishwaukee Educ Consortium</v>
      </c>
      <c r="B1" s="2430"/>
      <c r="C1" s="2430"/>
      <c r="D1" s="2430"/>
      <c r="E1" s="2430"/>
    </row>
    <row r="2" spans="1:5" x14ac:dyDescent="0.2">
      <c r="A2" s="2431">
        <f>'Single Audit Cover'!E7</f>
        <v>16000000046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191536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191536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191536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191536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Kishwaukee Educ Consortium</v>
      </c>
      <c r="C1" s="2434"/>
      <c r="D1" s="2434"/>
      <c r="E1" s="2434"/>
      <c r="F1" s="2434"/>
      <c r="G1" s="2434"/>
      <c r="H1" s="2434"/>
      <c r="I1" s="2434"/>
      <c r="J1" s="2434"/>
      <c r="K1" s="2434"/>
      <c r="L1" s="2434"/>
      <c r="M1" s="2434"/>
    </row>
    <row r="2" spans="2:14" ht="15" x14ac:dyDescent="0.2">
      <c r="B2" s="2435">
        <f>'Single Audit Cover'!E7</f>
        <v>16000000046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Kishwaukee Educ Consortium</v>
      </c>
      <c r="B1" s="2447"/>
      <c r="C1" s="2447"/>
      <c r="D1" s="2447"/>
      <c r="E1" s="2447"/>
      <c r="F1" s="2447"/>
    </row>
    <row r="2" spans="1:7" ht="13.5" customHeight="1" x14ac:dyDescent="0.2">
      <c r="A2" s="2435">
        <f>'Single Audit Cover'!E7</f>
        <v>16000000046</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1">
        <f>+C33+C34</f>
        <v>0</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5" colorId="8" zoomScale="110" zoomScaleNormal="110" workbookViewId="0">
      <selection activeCell="C9" sqref="C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2069</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Kishwaukee Educ Consortium</v>
      </c>
      <c r="C1" s="2462"/>
      <c r="D1" s="2462"/>
      <c r="E1" s="2462"/>
      <c r="F1" s="2462"/>
      <c r="G1" s="2462"/>
      <c r="H1" s="2462"/>
      <c r="I1" s="2462"/>
      <c r="J1" s="1406"/>
    </row>
    <row r="2" spans="2:10" s="317" customFormat="1" ht="12.75" customHeight="1" x14ac:dyDescent="0.2">
      <c r="B2" s="2463">
        <f>'Single Audit Cover'!E7</f>
        <v>16000000046</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2062</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Kishwaukee Educ Consortium</v>
      </c>
      <c r="C1" s="2461"/>
      <c r="D1" s="2461"/>
      <c r="E1" s="2461"/>
      <c r="F1" s="2461"/>
      <c r="G1" s="2461"/>
      <c r="H1" s="2461"/>
      <c r="I1" s="2461"/>
      <c r="J1" s="2461"/>
      <c r="K1" s="2461"/>
      <c r="L1" s="1371"/>
      <c r="M1" s="1371"/>
    </row>
    <row r="2" spans="1:13" ht="12" customHeight="1" x14ac:dyDescent="0.2">
      <c r="B2" s="2463">
        <f>'Single Audit Cover'!E7</f>
        <v>16000000046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Kishwaukee Educ Consortium</v>
      </c>
      <c r="C1" s="2484"/>
      <c r="D1" s="2484"/>
      <c r="E1" s="2484"/>
      <c r="F1" s="2484"/>
      <c r="G1" s="2484"/>
      <c r="H1" s="2484"/>
      <c r="I1" s="2484"/>
      <c r="J1" s="2484"/>
      <c r="K1" s="2484"/>
      <c r="L1" s="1449"/>
    </row>
    <row r="2" spans="1:12" ht="12.75" customHeight="1" x14ac:dyDescent="0.2">
      <c r="B2" s="2485">
        <f>'Single Audit Cover'!E7</f>
        <v>16000000046</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Kishwaukee Educ Consortium</v>
      </c>
      <c r="C1" s="2461"/>
      <c r="D1" s="2461"/>
      <c r="E1" s="1469"/>
    </row>
    <row r="2" spans="2:5" s="1279" customFormat="1" ht="12.75" customHeight="1" x14ac:dyDescent="0.2">
      <c r="B2" s="2463">
        <f>'Single Audit Cover'!E7</f>
        <v>16000000046</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C9" sqref="C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2315882</v>
      </c>
      <c r="E16" s="356"/>
      <c r="F16" s="1733">
        <f>SUM('Acct Summary 7-8'!C17,'Acct Summary 7-8'!D17,'Acct Summary 7-8'!F17)</f>
        <v>2454317</v>
      </c>
      <c r="G16" s="356"/>
      <c r="H16" s="1733">
        <f>SUM(D16-F16)</f>
        <v>-138435</v>
      </c>
      <c r="I16" s="222"/>
      <c r="J16" s="1733">
        <f>SUM('Acct Summary 7-8'!C81,'Acct Summary 7-8'!D81,'Acct Summary 7-8'!F81,'Acct Summary 7-8'!I81)</f>
        <v>210810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2825000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C9" sqref="C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Kishwaukee Educ Consortium</v>
      </c>
      <c r="E7" s="391"/>
      <c r="G7" s="252"/>
      <c r="H7" s="387"/>
      <c r="I7" s="387"/>
      <c r="J7" s="387"/>
      <c r="K7" s="387"/>
      <c r="L7" s="329"/>
      <c r="M7" s="329"/>
      <c r="N7" s="329"/>
      <c r="O7" s="329"/>
      <c r="P7" s="329"/>
    </row>
    <row r="8" spans="1:18" ht="12.75" x14ac:dyDescent="0.2">
      <c r="A8" s="329"/>
      <c r="B8" s="329"/>
      <c r="C8" s="389" t="s">
        <v>1125</v>
      </c>
      <c r="D8" s="392">
        <f>COVER!A13</f>
        <v>16000000046</v>
      </c>
      <c r="E8" s="393"/>
      <c r="G8" s="329"/>
      <c r="H8" s="329"/>
      <c r="I8" s="329"/>
      <c r="J8" s="329"/>
      <c r="K8" s="329"/>
      <c r="L8" s="329"/>
      <c r="M8" s="329"/>
      <c r="N8" s="329"/>
      <c r="O8" s="329"/>
      <c r="P8" s="329"/>
    </row>
    <row r="9" spans="1:18" ht="12.75" x14ac:dyDescent="0.2">
      <c r="A9" s="329"/>
      <c r="B9" s="329"/>
      <c r="C9" s="389" t="s">
        <v>713</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210810</v>
      </c>
      <c r="I12" s="404"/>
      <c r="J12" s="404"/>
      <c r="K12" s="405">
        <f>TRUNC((H12/H13*100000),5)/100000</f>
        <v>9.10279539E-2</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2315882</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2454317</v>
      </c>
      <c r="I17" s="404"/>
      <c r="J17" s="416"/>
      <c r="K17" s="405">
        <f>TRUNC((H17/H18*100000),5)/100000</f>
        <v>1.0597763616</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2315882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-0.15009349999999999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604531</v>
      </c>
      <c r="I24" s="422"/>
      <c r="J24" s="422"/>
      <c r="K24" s="423">
        <f>TRUNC(((H24/H25*100000)/100000),2)</f>
        <v>88.67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6817.5472200000004</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2825000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view="pageBreakPreview" colorId="8" zoomScale="60" zoomScaleNormal="85" workbookViewId="0">
      <pane ySplit="2" topLeftCell="A12" activePane="bottomLeft" state="frozen"/>
      <selection activeCell="C9" sqref="C9"/>
      <selection pane="bottomLeft" activeCell="C9" sqref="C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406364</v>
      </c>
      <c r="D4" s="466">
        <v>15993</v>
      </c>
      <c r="E4" s="466"/>
      <c r="F4" s="466"/>
      <c r="G4" s="466"/>
      <c r="H4" s="466"/>
      <c r="I4" s="466"/>
      <c r="J4" s="467"/>
      <c r="K4" s="466"/>
      <c r="L4" s="466"/>
      <c r="M4" s="468"/>
      <c r="N4" s="469"/>
    </row>
    <row r="5" spans="1:14" x14ac:dyDescent="0.2">
      <c r="A5" s="463" t="s">
        <v>992</v>
      </c>
      <c r="B5" s="470">
        <v>120</v>
      </c>
      <c r="C5" s="465"/>
      <c r="D5" s="466">
        <v>182174</v>
      </c>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128850</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535214</v>
      </c>
      <c r="D13" s="1737">
        <f t="shared" ref="D13:L13" si="0">SUM(D4:D12)</f>
        <v>198167</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5131509</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225798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2825000</v>
      </c>
    </row>
    <row r="23" spans="1:14" ht="13.5" customHeight="1" thickBot="1" x14ac:dyDescent="0.25">
      <c r="A23" s="1736" t="s">
        <v>643</v>
      </c>
      <c r="B23" s="1741"/>
      <c r="C23" s="468"/>
      <c r="D23" s="468"/>
      <c r="E23" s="468"/>
      <c r="F23" s="468"/>
      <c r="G23" s="468"/>
      <c r="H23" s="468"/>
      <c r="I23" s="468"/>
      <c r="J23" s="468"/>
      <c r="K23" s="468"/>
      <c r="L23" s="468"/>
      <c r="M23" s="1688">
        <f>SUM(M15:M22)</f>
        <v>5357307</v>
      </c>
      <c r="N23" s="1688">
        <f>SUM(N21:N22)</f>
        <v>2825000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22571</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500000</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522571</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2825000</v>
      </c>
    </row>
    <row r="37" spans="1:14" ht="13.5" thickBot="1" x14ac:dyDescent="0.25">
      <c r="A37" s="1736" t="s">
        <v>653</v>
      </c>
      <c r="B37" s="1741"/>
      <c r="C37" s="477"/>
      <c r="D37" s="477"/>
      <c r="E37" s="477"/>
      <c r="F37" s="477"/>
      <c r="G37" s="477"/>
      <c r="H37" s="477"/>
      <c r="I37" s="477"/>
      <c r="J37" s="477"/>
      <c r="K37" s="477"/>
      <c r="L37" s="480"/>
      <c r="M37" s="468"/>
      <c r="N37" s="1688">
        <f>SUM(N36:N36)</f>
        <v>2825000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12643</v>
      </c>
      <c r="D39" s="466">
        <v>198167</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5357307</v>
      </c>
      <c r="N40" s="497"/>
    </row>
    <row r="41" spans="1:14" ht="13.5" customHeight="1" thickBot="1" x14ac:dyDescent="0.25">
      <c r="A41" s="1736" t="s">
        <v>655</v>
      </c>
      <c r="B41" s="1706"/>
      <c r="C41" s="1688">
        <f>(SUM(C34,C37,C38,C39))</f>
        <v>535214</v>
      </c>
      <c r="D41" s="1688">
        <f t="shared" ref="D41:L41" si="2">SUM(D34,D37,D38:D39)</f>
        <v>198167</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5357307</v>
      </c>
      <c r="N41" s="1688">
        <f>SUM(N37)</f>
        <v>2825000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view="pageBreakPreview" colorId="8" zoomScaleNormal="80" zoomScaleSheetLayoutView="100" workbookViewId="0">
      <pane ySplit="2" topLeftCell="A15" activePane="bottomLeft" state="frozen"/>
      <selection activeCell="C9" sqref="C9"/>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1453105</v>
      </c>
      <c r="D4" s="1742">
        <f>'Revenues 9-14'!D109</f>
        <v>9904</v>
      </c>
      <c r="E4" s="1742">
        <f>'Revenues 9-14'!E109</f>
        <v>401918</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661337</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191536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2305978</v>
      </c>
      <c r="D8" s="1688">
        <f t="shared" ref="D8:K8" si="0">SUM(D4:D7)</f>
        <v>9904</v>
      </c>
      <c r="E8" s="1688">
        <f t="shared" si="0"/>
        <v>401918</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2305978</v>
      </c>
      <c r="D10" s="1688">
        <f t="shared" ref="D10:K10" si="1">SUM(D8:D9)</f>
        <v>9904</v>
      </c>
      <c r="E10" s="1688">
        <f t="shared" si="1"/>
        <v>401918</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1004086</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512240</v>
      </c>
      <c r="D13" s="1743">
        <f>'Expenditures 15-22'!K129</f>
        <v>6291</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931700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401918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2448026</v>
      </c>
      <c r="D17" s="1688">
        <f t="shared" si="2"/>
        <v>6291</v>
      </c>
      <c r="E17" s="1688">
        <f t="shared" si="2"/>
        <v>401918</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2448026</v>
      </c>
      <c r="D19" s="1688">
        <f t="shared" si="4"/>
        <v>6291</v>
      </c>
      <c r="E19" s="1688">
        <f t="shared" si="4"/>
        <v>401918</v>
      </c>
      <c r="F19" s="1688">
        <f t="shared" si="4"/>
        <v>0</v>
      </c>
      <c r="G19" s="1688">
        <f t="shared" si="4"/>
        <v>0</v>
      </c>
      <c r="H19" s="1688">
        <f t="shared" si="4"/>
        <v>0</v>
      </c>
      <c r="I19" s="468"/>
      <c r="J19" s="1688">
        <f>SUM(J17:J18)</f>
        <v>0</v>
      </c>
      <c r="K19" s="1688">
        <f>SUM(K17:K18)</f>
        <v>0</v>
      </c>
      <c r="L19" s="347"/>
    </row>
    <row r="20" spans="1:12" ht="16.5" thickTop="1" thickBot="1" x14ac:dyDescent="0.25">
      <c r="A20" s="2127" t="s">
        <v>1655</v>
      </c>
      <c r="B20" s="2128"/>
      <c r="C20" s="1746">
        <f>C8-C17</f>
        <v>-142048</v>
      </c>
      <c r="D20" s="1746">
        <f t="shared" ref="D20:K20" si="5">D8-D17</f>
        <v>3613</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-142048</v>
      </c>
      <c r="D78" s="1702">
        <f t="shared" si="9"/>
        <v>3613</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154691</v>
      </c>
      <c r="D79" s="535">
        <v>194554</v>
      </c>
      <c r="E79" s="535"/>
      <c r="F79" s="535"/>
      <c r="G79" s="535"/>
      <c r="H79" s="535"/>
      <c r="I79" s="535"/>
      <c r="J79" s="535"/>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8">
        <f>(SUM(C78:C80))</f>
        <v>12643</v>
      </c>
      <c r="D81" s="1688">
        <f>SUM(D78:D80)</f>
        <v>198167</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-142048</v>
      </c>
      <c r="D82" s="538">
        <f t="shared" ref="D82:K82" si="11">(D81-D79)</f>
        <v>3613</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-11.235308075614965</v>
      </c>
      <c r="D83" s="540">
        <f t="shared" ref="D83:K83" si="12">D82/D81</f>
        <v>1.8232097170568257E-2</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view="pageBreakPreview" colorId="8" zoomScale="75" zoomScaleNormal="85" zoomScaleSheetLayoutView="75" workbookViewId="0">
      <pane ySplit="2" topLeftCell="A244" activePane="bottomLeft" state="frozen"/>
      <selection activeCell="C9" sqref="C9"/>
      <selection pane="bottomLeft" activeCell="C9" sqref="C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846290</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529624</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1375914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5055</v>
      </c>
      <c r="D65" s="466">
        <v>3875</v>
      </c>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5055</v>
      </c>
      <c r="D67" s="1688">
        <f t="shared" ref="D67:K67" si="2">SUM(D65:D66)</f>
        <v>3875</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514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514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19966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19966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2403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28000</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20528</v>
      </c>
      <c r="D104" s="466">
        <v>6029</v>
      </c>
      <c r="E104" s="481">
        <v>401918</v>
      </c>
      <c r="F104" s="467"/>
      <c r="G104" s="467"/>
      <c r="H104" s="466"/>
      <c r="I104" s="468"/>
      <c r="J104" s="468"/>
      <c r="K104" s="468"/>
    </row>
    <row r="105" spans="1:12" ht="12.75" customHeight="1" x14ac:dyDescent="0.2">
      <c r="A105" s="463" t="s">
        <v>822</v>
      </c>
      <c r="B105" s="470">
        <v>1992</v>
      </c>
      <c r="C105" s="466">
        <v>725</v>
      </c>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51656</v>
      </c>
      <c r="D108" s="1707">
        <f t="shared" ref="D108:K108" si="3">SUM(D95:D107)</f>
        <v>6029</v>
      </c>
      <c r="E108" s="1707">
        <f t="shared" si="3"/>
        <v>401918</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1453105</v>
      </c>
      <c r="D109" s="1715">
        <f t="shared" si="4"/>
        <v>9904</v>
      </c>
      <c r="E109" s="1715">
        <f t="shared" si="4"/>
        <v>401918</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187241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187241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361820</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361820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515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111761</v>
      </c>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474096</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661337</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25367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7980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33347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158189</v>
      </c>
      <c r="D220" s="466"/>
      <c r="E220" s="468"/>
      <c r="F220" s="468"/>
      <c r="G220" s="466"/>
      <c r="H220" s="468"/>
      <c r="I220" s="468"/>
      <c r="J220" s="468"/>
      <c r="K220" s="468"/>
    </row>
    <row r="221" spans="1:11" ht="12.75" customHeight="1" thickBot="1" x14ac:dyDescent="0.25">
      <c r="A221" s="1723" t="s">
        <v>1085</v>
      </c>
      <c r="B221" s="1724"/>
      <c r="C221" s="1707">
        <f>SUM(C219:C220)</f>
        <v>158189</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191536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191536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2305978</v>
      </c>
      <c r="D268" s="1715">
        <f t="shared" si="12"/>
        <v>9904</v>
      </c>
      <c r="E268" s="1715">
        <f t="shared" si="12"/>
        <v>401918</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view="pageBreakPreview" colorId="8" zoomScale="60" zoomScaleNormal="90" workbookViewId="0">
      <pane ySplit="2" topLeftCell="A84" activePane="bottomLeft" state="frozen"/>
      <selection activeCell="C9" sqref="C9"/>
      <selection pane="bottomLeft" activeCell="C9" sqref="C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425027</v>
      </c>
      <c r="F13" s="466">
        <v>64294</v>
      </c>
      <c r="G13" s="466">
        <v>19636</v>
      </c>
      <c r="H13" s="466">
        <v>19900</v>
      </c>
      <c r="I13" s="467"/>
      <c r="J13" s="467"/>
      <c r="K13" s="1671">
        <f t="shared" si="0"/>
        <v>528857</v>
      </c>
      <c r="L13" s="466">
        <v>518500</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v>465552</v>
      </c>
      <c r="F19" s="466">
        <v>9677</v>
      </c>
      <c r="G19" s="466"/>
      <c r="H19" s="466"/>
      <c r="I19" s="467"/>
      <c r="J19" s="467"/>
      <c r="K19" s="1671">
        <f t="shared" si="0"/>
        <v>475229</v>
      </c>
      <c r="L19" s="466">
        <v>483261</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890579</v>
      </c>
      <c r="F33" s="1670">
        <f t="shared" si="1"/>
        <v>73971</v>
      </c>
      <c r="G33" s="1670">
        <f t="shared" si="1"/>
        <v>19636</v>
      </c>
      <c r="H33" s="1670">
        <f t="shared" si="1"/>
        <v>19900</v>
      </c>
      <c r="I33" s="1670">
        <f t="shared" si="1"/>
        <v>0</v>
      </c>
      <c r="J33" s="1670">
        <f t="shared" si="1"/>
        <v>0</v>
      </c>
      <c r="K33" s="1670">
        <f t="shared" si="1"/>
        <v>1004086</v>
      </c>
      <c r="L33" s="1670">
        <f t="shared" si="1"/>
        <v>1001761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v>668</v>
      </c>
      <c r="G37" s="466"/>
      <c r="H37" s="466"/>
      <c r="I37" s="467"/>
      <c r="J37" s="467"/>
      <c r="K37" s="1671">
        <f t="shared" si="2"/>
        <v>668</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v>42521</v>
      </c>
      <c r="F39" s="466">
        <v>717</v>
      </c>
      <c r="G39" s="466"/>
      <c r="H39" s="466"/>
      <c r="I39" s="467"/>
      <c r="J39" s="467"/>
      <c r="K39" s="1671">
        <f t="shared" si="2"/>
        <v>43238</v>
      </c>
      <c r="L39" s="466">
        <v>39700</v>
      </c>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42521</v>
      </c>
      <c r="F42" s="1670">
        <f t="shared" si="3"/>
        <v>1385</v>
      </c>
      <c r="G42" s="1670">
        <f t="shared" si="3"/>
        <v>0</v>
      </c>
      <c r="H42" s="1670">
        <f t="shared" si="3"/>
        <v>0</v>
      </c>
      <c r="I42" s="1670">
        <f t="shared" si="3"/>
        <v>0</v>
      </c>
      <c r="J42" s="1670">
        <f t="shared" si="3"/>
        <v>0</v>
      </c>
      <c r="K42" s="1670">
        <f t="shared" si="3"/>
        <v>43906</v>
      </c>
      <c r="L42" s="1670">
        <f t="shared" si="3"/>
        <v>39700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88098</v>
      </c>
      <c r="F44" s="481">
        <v>1047</v>
      </c>
      <c r="G44" s="481"/>
      <c r="H44" s="481"/>
      <c r="I44" s="467"/>
      <c r="J44" s="467"/>
      <c r="K44" s="1672">
        <f>SUM(C44:J44)</f>
        <v>89145</v>
      </c>
      <c r="L44" s="481">
        <v>99054</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88098</v>
      </c>
      <c r="F47" s="1670">
        <f t="shared" si="4"/>
        <v>1047</v>
      </c>
      <c r="G47" s="1670">
        <f t="shared" si="4"/>
        <v>0</v>
      </c>
      <c r="H47" s="1670">
        <f t="shared" si="4"/>
        <v>0</v>
      </c>
      <c r="I47" s="1670">
        <f t="shared" si="4"/>
        <v>0</v>
      </c>
      <c r="J47" s="1670">
        <f t="shared" si="4"/>
        <v>0</v>
      </c>
      <c r="K47" s="1670">
        <f t="shared" si="4"/>
        <v>89145</v>
      </c>
      <c r="L47" s="1670">
        <f>SUM(L44:L46)</f>
        <v>99054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v>14492</v>
      </c>
      <c r="F50" s="466">
        <v>481</v>
      </c>
      <c r="G50" s="466"/>
      <c r="H50" s="466"/>
      <c r="I50" s="467"/>
      <c r="J50" s="467"/>
      <c r="K50" s="1672">
        <f>SUM(C50:J50)</f>
        <v>14973</v>
      </c>
      <c r="L50" s="466">
        <v>14990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0</v>
      </c>
      <c r="D53" s="1670">
        <f t="shared" ref="D53:L53" si="5">SUM(D49:D52)</f>
        <v>0</v>
      </c>
      <c r="E53" s="1670">
        <f t="shared" si="5"/>
        <v>14492</v>
      </c>
      <c r="F53" s="1670">
        <f t="shared" si="5"/>
        <v>481</v>
      </c>
      <c r="G53" s="1670">
        <f t="shared" si="5"/>
        <v>0</v>
      </c>
      <c r="H53" s="1670">
        <f t="shared" si="5"/>
        <v>0</v>
      </c>
      <c r="I53" s="1670">
        <f t="shared" si="5"/>
        <v>0</v>
      </c>
      <c r="J53" s="1670">
        <f t="shared" si="5"/>
        <v>0</v>
      </c>
      <c r="K53" s="1670">
        <f t="shared" si="5"/>
        <v>14973</v>
      </c>
      <c r="L53" s="1670">
        <f t="shared" si="5"/>
        <v>14990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v>79144</v>
      </c>
      <c r="F55" s="481">
        <v>31645</v>
      </c>
      <c r="G55" s="481">
        <v>1525</v>
      </c>
      <c r="H55" s="481"/>
      <c r="I55" s="467"/>
      <c r="J55" s="467"/>
      <c r="K55" s="1672">
        <f>SUM(C55:J55)</f>
        <v>112314</v>
      </c>
      <c r="L55" s="481">
        <v>93703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79144</v>
      </c>
      <c r="F57" s="1674">
        <f t="shared" si="6"/>
        <v>31645</v>
      </c>
      <c r="G57" s="1674">
        <f t="shared" si="6"/>
        <v>1525</v>
      </c>
      <c r="H57" s="1674">
        <f t="shared" si="6"/>
        <v>0</v>
      </c>
      <c r="I57" s="1674">
        <f t="shared" si="6"/>
        <v>0</v>
      </c>
      <c r="J57" s="1674">
        <f t="shared" si="6"/>
        <v>0</v>
      </c>
      <c r="K57" s="1674">
        <f t="shared" si="6"/>
        <v>112314</v>
      </c>
      <c r="L57" s="1670">
        <f>SUM(L55:L56)</f>
        <v>93703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v>139400</v>
      </c>
      <c r="F61" s="466">
        <v>54142</v>
      </c>
      <c r="G61" s="466"/>
      <c r="H61" s="466"/>
      <c r="I61" s="467"/>
      <c r="J61" s="467"/>
      <c r="K61" s="1672">
        <f t="shared" si="7"/>
        <v>193542</v>
      </c>
      <c r="L61" s="466">
        <v>167000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16401</v>
      </c>
      <c r="F63" s="466">
        <v>39384</v>
      </c>
      <c r="G63" s="466">
        <v>2575</v>
      </c>
      <c r="H63" s="466"/>
      <c r="I63" s="467"/>
      <c r="J63" s="467"/>
      <c r="K63" s="1672">
        <f t="shared" si="7"/>
        <v>58360</v>
      </c>
      <c r="L63" s="466">
        <v>53000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155801</v>
      </c>
      <c r="F65" s="1670">
        <f t="shared" si="8"/>
        <v>93526</v>
      </c>
      <c r="G65" s="1670">
        <f t="shared" si="8"/>
        <v>2575</v>
      </c>
      <c r="H65" s="1670">
        <f t="shared" si="8"/>
        <v>0</v>
      </c>
      <c r="I65" s="1670">
        <f t="shared" si="8"/>
        <v>0</v>
      </c>
      <c r="J65" s="1670">
        <f t="shared" si="8"/>
        <v>0</v>
      </c>
      <c r="K65" s="1670">
        <f t="shared" si="8"/>
        <v>251902</v>
      </c>
      <c r="L65" s="1670">
        <f t="shared" si="8"/>
        <v>220000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0</v>
      </c>
      <c r="D74" s="1677">
        <f t="shared" ref="D74:K74" si="10">SUM(D42,D47,D53,D57,D65,D72,D73)</f>
        <v>0</v>
      </c>
      <c r="E74" s="1677">
        <f t="shared" si="10"/>
        <v>380056</v>
      </c>
      <c r="F74" s="1677">
        <f t="shared" si="10"/>
        <v>128084</v>
      </c>
      <c r="G74" s="1677">
        <f t="shared" si="10"/>
        <v>4100</v>
      </c>
      <c r="H74" s="1677">
        <f t="shared" si="10"/>
        <v>0</v>
      </c>
      <c r="I74" s="1677">
        <f t="shared" si="10"/>
        <v>0</v>
      </c>
      <c r="J74" s="1677">
        <f t="shared" si="10"/>
        <v>0</v>
      </c>
      <c r="K74" s="1677">
        <f t="shared" si="10"/>
        <v>512240</v>
      </c>
      <c r="L74" s="1677">
        <f>SUM(L42,L47,L53,L57,L65,L72,L73)</f>
        <v>467447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350917</v>
      </c>
      <c r="F79" s="616"/>
      <c r="G79" s="616"/>
      <c r="H79" s="466"/>
      <c r="I79" s="477"/>
      <c r="J79" s="477"/>
      <c r="K79" s="1671">
        <f t="shared" si="11"/>
        <v>350917</v>
      </c>
      <c r="L79" s="466">
        <v>309662</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579044</v>
      </c>
      <c r="F81" s="616"/>
      <c r="G81" s="616"/>
      <c r="H81" s="466"/>
      <c r="I81" s="477"/>
      <c r="J81" s="477"/>
      <c r="K81" s="1671">
        <f t="shared" si="11"/>
        <v>579044</v>
      </c>
      <c r="L81" s="466">
        <v>558733</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1739</v>
      </c>
      <c r="F83" s="616"/>
      <c r="G83" s="616"/>
      <c r="H83" s="466"/>
      <c r="I83" s="477"/>
      <c r="J83" s="477"/>
      <c r="K83" s="1671">
        <f t="shared" si="11"/>
        <v>1739</v>
      </c>
      <c r="L83" s="466">
        <v>2000</v>
      </c>
    </row>
    <row r="84" spans="1:12" ht="13.5" thickBot="1" x14ac:dyDescent="0.25">
      <c r="A84" s="1668" t="s">
        <v>1485</v>
      </c>
      <c r="B84" s="1678">
        <v>4100</v>
      </c>
      <c r="C84" s="616"/>
      <c r="D84" s="616"/>
      <c r="E84" s="1670">
        <f>SUM(E78:E83)</f>
        <v>931700</v>
      </c>
      <c r="F84" s="616"/>
      <c r="G84" s="616"/>
      <c r="H84" s="1670">
        <f>SUM(H78:H83)</f>
        <v>0</v>
      </c>
      <c r="I84" s="477"/>
      <c r="J84" s="477"/>
      <c r="K84" s="1670">
        <f>SUM(K78:K83)</f>
        <v>931700</v>
      </c>
      <c r="L84" s="1670">
        <f>SUM(L78:L83)</f>
        <v>870395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931700</v>
      </c>
      <c r="F102" s="616"/>
      <c r="G102" s="616"/>
      <c r="H102" s="1677">
        <f>SUM(H84,H92,H100,H101)</f>
        <v>0</v>
      </c>
      <c r="I102" s="477"/>
      <c r="J102" s="477"/>
      <c r="K102" s="1677">
        <f>SUM(K84,K92,K100,K101)</f>
        <v>931700</v>
      </c>
      <c r="L102" s="1677">
        <f>SUM(L84,L92,L100,L101)</f>
        <v>870395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0</v>
      </c>
      <c r="D114" s="1670">
        <f t="shared" ref="D114:K114" si="13">SUM(D33,D74,D75,D102,D112,D113)</f>
        <v>0</v>
      </c>
      <c r="E114" s="1670">
        <f t="shared" si="13"/>
        <v>2202335</v>
      </c>
      <c r="F114" s="1670">
        <f t="shared" si="13"/>
        <v>202055</v>
      </c>
      <c r="G114" s="1670">
        <f t="shared" si="13"/>
        <v>23736</v>
      </c>
      <c r="H114" s="1670">
        <f>SUM(H33,H74,H75,H102,H112,H113)</f>
        <v>19900</v>
      </c>
      <c r="I114" s="1670">
        <f t="shared" si="13"/>
        <v>0</v>
      </c>
      <c r="J114" s="1670">
        <f t="shared" si="13"/>
        <v>0</v>
      </c>
      <c r="K114" s="1670">
        <f t="shared" si="13"/>
        <v>2448026</v>
      </c>
      <c r="L114" s="1670">
        <f>SUM(L33,L74,L75,L102,L112,L113)</f>
        <v>2339603</v>
      </c>
    </row>
    <row r="115" spans="1:14" ht="13.5" thickTop="1" x14ac:dyDescent="0.2">
      <c r="A115" s="2182" t="s">
        <v>996</v>
      </c>
      <c r="B115" s="2183"/>
      <c r="C115" s="618"/>
      <c r="D115" s="618"/>
      <c r="E115" s="618"/>
      <c r="F115" s="618"/>
      <c r="G115" s="618"/>
      <c r="H115" s="618"/>
      <c r="I115" s="618"/>
      <c r="J115" s="618"/>
      <c r="K115" s="1684">
        <f>'Revenues 9-14'!C268-'Expenditures 15-22'!K114</f>
        <v>-142048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v>6291</v>
      </c>
      <c r="G124" s="466"/>
      <c r="H124" s="466"/>
      <c r="I124" s="467"/>
      <c r="J124" s="467"/>
      <c r="K124" s="1670">
        <f>SUM(C124:J124)</f>
        <v>6291</v>
      </c>
      <c r="L124" s="466">
        <v>5790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6291</v>
      </c>
      <c r="G127" s="1670">
        <f t="shared" si="14"/>
        <v>0</v>
      </c>
      <c r="H127" s="1670">
        <f t="shared" si="14"/>
        <v>0</v>
      </c>
      <c r="I127" s="1670">
        <f t="shared" si="14"/>
        <v>0</v>
      </c>
      <c r="J127" s="1670">
        <f t="shared" si="14"/>
        <v>0</v>
      </c>
      <c r="K127" s="1670">
        <f t="shared" si="14"/>
        <v>6291</v>
      </c>
      <c r="L127" s="1670">
        <f t="shared" si="14"/>
        <v>5790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6291</v>
      </c>
      <c r="G129" s="1677">
        <f t="shared" si="15"/>
        <v>0</v>
      </c>
      <c r="H129" s="1677">
        <f t="shared" si="15"/>
        <v>0</v>
      </c>
      <c r="I129" s="1677">
        <f t="shared" si="15"/>
        <v>0</v>
      </c>
      <c r="J129" s="1677">
        <f t="shared" si="15"/>
        <v>0</v>
      </c>
      <c r="K129" s="1677">
        <f t="shared" si="15"/>
        <v>6291</v>
      </c>
      <c r="L129" s="1677">
        <f t="shared" si="15"/>
        <v>5790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70">
        <f>SUM(C129,C130,C139,C149,C150)</f>
        <v>0</v>
      </c>
      <c r="D151" s="1670">
        <f t="shared" ref="D151:K151" si="16">SUM(D129,D130,D139,D149,D150)</f>
        <v>0</v>
      </c>
      <c r="E151" s="1670">
        <f t="shared" si="16"/>
        <v>0</v>
      </c>
      <c r="F151" s="1670">
        <f t="shared" si="16"/>
        <v>6291</v>
      </c>
      <c r="G151" s="1670">
        <f t="shared" si="16"/>
        <v>0</v>
      </c>
      <c r="H151" s="1670">
        <f t="shared" si="16"/>
        <v>0</v>
      </c>
      <c r="I151" s="1670">
        <f t="shared" si="16"/>
        <v>0</v>
      </c>
      <c r="J151" s="1670">
        <f t="shared" si="16"/>
        <v>0</v>
      </c>
      <c r="K151" s="1670">
        <f t="shared" si="16"/>
        <v>6291</v>
      </c>
      <c r="L151" s="1670">
        <f>SUM(L129,L130,L139,L149,L150)</f>
        <v>5790</v>
      </c>
    </row>
    <row r="152" spans="1:14" ht="12.75" customHeight="1" thickTop="1" x14ac:dyDescent="0.2">
      <c r="A152" s="2175" t="s">
        <v>1178</v>
      </c>
      <c r="B152" s="2176"/>
      <c r="C152" s="618"/>
      <c r="D152" s="618"/>
      <c r="E152" s="618"/>
      <c r="F152" s="618"/>
      <c r="G152" s="618"/>
      <c r="H152" s="618"/>
      <c r="I152" s="618"/>
      <c r="J152" s="616"/>
      <c r="K152" s="1684">
        <f>'Revenues 9-14'!D268-'Expenditures 15-22'!K151</f>
        <v>3613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96918</v>
      </c>
      <c r="I169" s="616"/>
      <c r="J169" s="616"/>
      <c r="K169" s="1671">
        <f>SUM(C169:H169)</f>
        <v>96918</v>
      </c>
      <c r="L169" s="656">
        <v>96917</v>
      </c>
    </row>
    <row r="170" spans="1:14" ht="33.75" customHeight="1" x14ac:dyDescent="0.2">
      <c r="A170" s="669" t="s">
        <v>1670</v>
      </c>
      <c r="B170" s="671" t="s">
        <v>31</v>
      </c>
      <c r="C170" s="616"/>
      <c r="D170" s="616"/>
      <c r="E170" s="616"/>
      <c r="F170" s="616"/>
      <c r="G170" s="616"/>
      <c r="H170" s="569">
        <v>305000</v>
      </c>
      <c r="I170" s="616"/>
      <c r="J170" s="616"/>
      <c r="K170" s="1671">
        <f>SUM(C170:J170)</f>
        <v>305000</v>
      </c>
      <c r="L170" s="569">
        <v>305000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401918</v>
      </c>
      <c r="I172" s="638"/>
      <c r="J172" s="616"/>
      <c r="K172" s="1677">
        <f>SUM(K168,K169,K170,K171)</f>
        <v>401918</v>
      </c>
      <c r="L172" s="1677">
        <f>SUM(L168,L169,L170,L171)</f>
        <v>401917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401918</v>
      </c>
      <c r="I174" s="638"/>
      <c r="J174" s="616"/>
      <c r="K174" s="1677">
        <f>SUM(K160,K172,K173)</f>
        <v>401918</v>
      </c>
      <c r="L174" s="1677">
        <f>SUM(L160,L172,L173)</f>
        <v>401917</v>
      </c>
    </row>
    <row r="175" spans="1:14" ht="13.5" thickTop="1" x14ac:dyDescent="0.2">
      <c r="A175" s="2182" t="s">
        <v>996</v>
      </c>
      <c r="B175" s="2183"/>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2" t="s">
        <v>996</v>
      </c>
      <c r="B211" s="2183"/>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2" t="s">
        <v>996</v>
      </c>
      <c r="B296" s="2183"/>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68" t="s">
        <v>996</v>
      </c>
      <c r="B343" s="2169"/>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2" t="s">
        <v>996</v>
      </c>
      <c r="B368" s="2183"/>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schemas.microsoft.com/sharepoint/v3"/>
    <ds:schemaRef ds:uri="http://schemas.microsoft.com/office/2006/metadata/properties"/>
    <ds:schemaRef ds:uri="http://www.w3.org/XML/1998/namespace"/>
    <ds:schemaRef ds:uri="http://purl.org/dc/dcmitype/"/>
    <ds:schemaRef ds:uri="d21dc803-237d-4c68-8692-8d731fd29118"/>
    <ds:schemaRef ds:uri="6ce3111e-7420-4802-b50a-75d4e9a0b980"/>
    <ds:schemaRef ds:uri="http://purl.org/dc/terms/"/>
    <ds:schemaRef ds:uri="http://schemas.openxmlformats.org/package/2006/metadata/core-properties"/>
    <ds:schemaRef ds:uri="4d435f69-8686-490b-bd6d-b153bf22ab50"/>
    <ds:schemaRef ds:uri="http://purl.org/dc/elements/1.1/"/>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2019-10-25T15:18:30Z</cp:lastPrinted>
  <dcterms:created xsi:type="dcterms:W3CDTF">2003-10-29T19:06:34Z</dcterms:created>
  <dcterms:modified xsi:type="dcterms:W3CDTF">2019-11-25T18:47:31Z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