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C6D28ABF-9D61-464E-892F-9C43C323A683}"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SEFA NOTES" sheetId="173" r:id="rId31"/>
    <sheet name="SF&amp;QC Sec-1" sheetId="174" r:id="rId32"/>
    <sheet name="SF&amp;QC Sec-2 (2)" sheetId="183"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185" l="1"/>
  <c r="F17" i="185"/>
  <c r="L14" i="185" l="1"/>
  <c r="L13" i="185"/>
  <c r="B4" i="185"/>
  <c r="L17" i="184"/>
  <c r="L16" i="184"/>
  <c r="L15" i="184"/>
  <c r="L14" i="184"/>
  <c r="B4" i="184"/>
  <c r="B4" i="183"/>
  <c r="F36" i="181"/>
  <c r="F35" i="181"/>
  <c r="F34" i="181"/>
  <c r="F33" i="181"/>
  <c r="F32" i="181"/>
  <c r="F31" i="181"/>
  <c r="F30" i="181"/>
  <c r="F29" i="181"/>
  <c r="F28" i="181"/>
  <c r="F27" i="181"/>
  <c r="F26" i="181"/>
  <c r="F25" i="181"/>
  <c r="F24" i="181"/>
  <c r="F23"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G32" i="181"/>
  <c r="E32" i="181"/>
  <c r="G31" i="181"/>
  <c r="E31" i="181"/>
  <c r="G30" i="181"/>
  <c r="E30" i="181"/>
  <c r="G29" i="181"/>
  <c r="E29" i="181"/>
  <c r="E28" i="181"/>
  <c r="G28" i="181" s="1"/>
  <c r="G27" i="181"/>
  <c r="E27" i="181"/>
  <c r="G26" i="181"/>
  <c r="E26" i="181"/>
  <c r="G25" i="181"/>
  <c r="E25" i="181"/>
  <c r="G24" i="181"/>
  <c r="E24" i="181"/>
  <c r="E23" i="181"/>
  <c r="G23" i="181" s="1"/>
  <c r="G36" i="181"/>
  <c r="E36" i="181"/>
  <c r="E22" i="181"/>
  <c r="F22" i="181" s="1"/>
  <c r="G22" i="181" s="1"/>
  <c r="E21" i="181"/>
  <c r="F21" i="181" s="1"/>
  <c r="G21" i="181" s="1"/>
  <c r="E20" i="181"/>
  <c r="F20" i="181" s="1"/>
  <c r="G20" i="181" s="1"/>
  <c r="E19" i="181"/>
  <c r="E18" i="181"/>
  <c r="F19" i="181" l="1"/>
  <c r="G19" i="181" s="1"/>
  <c r="F18" i="181"/>
  <c r="G18" i="181" s="1"/>
  <c r="D37" i="181"/>
  <c r="D80" i="36" l="1"/>
  <c r="B7797" i="106"/>
  <c r="E37" i="181"/>
  <c r="E17" i="181"/>
  <c r="F17" i="181" s="1"/>
  <c r="E16" i="181"/>
  <c r="F16" i="181" l="1"/>
  <c r="G16" i="181" s="1"/>
  <c r="G17" i="181"/>
  <c r="G37" i="181" s="1"/>
  <c r="G40" i="108" l="1"/>
  <c r="B7799" i="106"/>
  <c r="F37" i="181"/>
  <c r="B7798" i="106" s="1"/>
  <c r="E40" i="108"/>
  <c r="B4" i="179" l="1"/>
  <c r="D17" i="171" l="1"/>
  <c r="L19" i="179" l="1"/>
  <c r="L18" i="179"/>
  <c r="L17" i="179"/>
  <c r="L16" i="179"/>
  <c r="L15" i="179"/>
  <c r="L14" i="179"/>
  <c r="D14" i="171" l="1"/>
  <c r="D12"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5"/>
  <c r="B1" i="184"/>
  <c r="B2" i="184"/>
  <c r="B2" i="185"/>
  <c r="B2" i="179"/>
  <c r="B2" i="183"/>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F62" i="34"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E26" i="108"/>
  <c r="G26" i="108"/>
  <c r="D27" i="108"/>
  <c r="E27" i="108"/>
  <c r="F27" i="108"/>
  <c r="G27" i="108"/>
  <c r="E28" i="108"/>
  <c r="F28" i="108"/>
  <c r="F31"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28" i="118"/>
  <c r="H33" i="118"/>
  <c r="D22" i="37"/>
  <c r="J22" i="37"/>
  <c r="L5" i="11"/>
  <c r="B2056" i="106" s="1"/>
  <c r="D2056" i="106" s="1"/>
  <c r="F46" i="34" l="1"/>
  <c r="G38" i="108"/>
  <c r="D26" i="108"/>
  <c r="D41" i="108" s="1"/>
  <c r="E43" i="108" s="1"/>
  <c r="B4211" i="106"/>
  <c r="D4211" i="106" s="1"/>
  <c r="D24" i="37"/>
  <c r="B4270" i="106" s="1"/>
  <c r="D4270" i="106" s="1"/>
  <c r="F14" i="4"/>
  <c r="B2597" i="106" s="1"/>
  <c r="D2597" i="106" s="1"/>
  <c r="F42" i="34"/>
  <c r="F37" i="34"/>
  <c r="E38" i="108"/>
  <c r="G30" i="108"/>
  <c r="F36" i="108"/>
  <c r="F41" i="108" s="1"/>
  <c r="G43" i="108" s="1"/>
  <c r="J210" i="29"/>
  <c r="B7072" i="106" s="1"/>
  <c r="D7072" i="106" s="1"/>
  <c r="J77" i="4"/>
  <c r="B6262" i="106" s="1"/>
  <c r="D6262" i="106" s="1"/>
  <c r="B2836" i="106"/>
  <c r="D2836" i="106" s="1"/>
  <c r="E30" i="108"/>
  <c r="F26" i="108"/>
  <c r="D54" i="36"/>
  <c r="C342" i="29"/>
  <c r="B7216" i="106" s="1"/>
  <c r="D7216" i="106" s="1"/>
  <c r="D6103" i="106"/>
  <c r="H365" i="29"/>
  <c r="B7242" i="106" s="1"/>
  <c r="D7242" i="106" s="1"/>
  <c r="F77" i="4"/>
  <c r="B3255" i="106" s="1"/>
  <c r="D3255" i="106" s="1"/>
  <c r="K184" i="29"/>
  <c r="F13" i="4" s="1"/>
  <c r="B2596" i="106" s="1"/>
  <c r="D2596" i="106" s="1"/>
  <c r="G210" i="29"/>
  <c r="C129" i="29"/>
  <c r="E29" i="108"/>
  <c r="G29" i="108"/>
  <c r="L13" i="11"/>
  <c r="B2060" i="106" s="1"/>
  <c r="D2060" i="106" s="1"/>
  <c r="I210" i="29"/>
  <c r="B7071" i="106" s="1"/>
  <c r="D7071" i="106" s="1"/>
  <c r="B4087" i="106"/>
  <c r="D4087" i="106" s="1"/>
  <c r="K41" i="3"/>
  <c r="L15" i="11"/>
  <c r="B3459" i="106" s="1"/>
  <c r="D3459" i="106" s="1"/>
  <c r="B1308" i="106"/>
  <c r="D1308" i="106" s="1"/>
  <c r="E174" i="29"/>
  <c r="B1309" i="106" s="1"/>
  <c r="D1309" i="106" s="1"/>
  <c r="B1126" i="106"/>
  <c r="D1126" i="106" s="1"/>
  <c r="D17" i="7"/>
  <c r="B4104" i="106" s="1"/>
  <c r="D4104" i="106" s="1"/>
  <c r="D11" i="37"/>
  <c r="D31" i="36"/>
  <c r="L22" i="37"/>
  <c r="L367" i="29"/>
  <c r="F19" i="7"/>
  <c r="B1807" i="106" s="1"/>
  <c r="D1807" i="106" s="1"/>
  <c r="D7245" i="106"/>
  <c r="C352" i="29"/>
  <c r="C367" i="29" s="1"/>
  <c r="B3622" i="106" s="1"/>
  <c r="D3622" i="106" s="1"/>
  <c r="D9" i="7"/>
  <c r="B1767" i="106" s="1"/>
  <c r="D1767" i="106" s="1"/>
  <c r="H29" i="118"/>
  <c r="K28" i="118" s="1"/>
  <c r="O27" i="118" s="1"/>
  <c r="O29" i="118" s="1"/>
  <c r="N22" i="3"/>
  <c r="B283" i="106" s="1"/>
  <c r="D283" i="106" s="1"/>
  <c r="L342" i="29"/>
  <c r="F49" i="34"/>
  <c r="F44" i="34"/>
  <c r="B3254" i="106"/>
  <c r="D3254" i="106" s="1"/>
  <c r="I24" i="12"/>
  <c r="B3649" i="106"/>
  <c r="D3649" i="106" s="1"/>
  <c r="G367" i="29"/>
  <c r="D5" i="4"/>
  <c r="B3406" i="106" s="1"/>
  <c r="D3406" i="106" s="1"/>
  <c r="L312" i="29"/>
  <c r="I342" i="29"/>
  <c r="B7222" i="106" s="1"/>
  <c r="D7222" i="106" s="1"/>
  <c r="K350" i="29"/>
  <c r="F21" i="8"/>
  <c r="K24" i="12"/>
  <c r="B3621" i="106"/>
  <c r="D3621"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7254" i="106" l="1"/>
  <c r="D7250" i="106"/>
  <c r="D7256" i="106"/>
  <c r="D7251" i="106"/>
  <c r="B1365" i="106"/>
  <c r="D1365" i="106" s="1"/>
  <c r="F65" i="34"/>
  <c r="L114" i="29"/>
  <c r="C114" i="29"/>
  <c r="B757" i="106" s="1"/>
  <c r="D757" i="106" s="1"/>
  <c r="F174" i="34"/>
  <c r="L16" i="11"/>
  <c r="B2061" i="106" s="1"/>
  <c r="D2061" i="106" s="1"/>
  <c r="B2031" i="106"/>
  <c r="D2031" i="106" s="1"/>
  <c r="I26" i="12"/>
  <c r="B7741" i="106" s="1"/>
  <c r="D7741" i="106" s="1"/>
  <c r="B1996" i="106"/>
  <c r="D1996" i="106" s="1"/>
  <c r="B3568" i="106"/>
  <c r="D3568" i="106" s="1"/>
  <c r="D52" i="36"/>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5508" i="106"/>
  <c r="D5508" i="106" s="1"/>
  <c r="B2567" i="106"/>
  <c r="D2567" i="106" s="1"/>
  <c r="D8" i="146"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<sst xmlns="http://schemas.openxmlformats.org/spreadsheetml/2006/main" count="5225" uniqueCount="2131">
  <si>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</si>
  <si>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</si>
  <si>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</si>
  <si>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</si>
  <si>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</si>
  <si>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</si>
  <si>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</si>
  <si>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</si>
  <si>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</si>
  <si>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</si>
  <si>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</si>
  <si>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</si>
  <si>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</si>
  <si>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</si>
  <si>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</si>
  <si>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</si>
  <si>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</si>
  <si>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</si>
  <si>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</si>
  <si>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</si>
  <si>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</si>
  <si>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</si>
  <si>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</si>
  <si>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</si>
  <si>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</si>
  <si>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</si>
  <si>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</si>
  <si>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</si>
  <si>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</si>
  <si>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</si>
  <si>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</si>
  <si>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</si>
  <si>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</si>
  <si>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</si>
  <si>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</si>
  <si>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</si>
  <si>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</si>
  <si>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</si>
  <si>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</si>
  <si>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</si>
  <si>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</si>
  <si>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</si>
  <si>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</si>
  <si>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</si>
  <si>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</si>
  <si>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</si>
  <si>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</si>
  <si>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</si>
  <si>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</si>
  <si>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</si>
  <si>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</si>
  <si>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</si>
  <si>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</si>
  <si>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</si>
  <si>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</si>
  <si>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</si>
  <si>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</si>
  <si>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</si>
  <si>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</si>
  <si>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</si>
  <si>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</si>
  <si>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</si>
  <si>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</si>
  <si>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</si>
  <si>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</si>
  <si>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</si>
  <si>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</si>
  <si>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</si>
  <si>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</si>
  <si>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</si>
  <si>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</si>
  <si>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</si>
  <si>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</si>
  <si>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</si>
  <si>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</si>
  <si>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</si>
  <si>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</si>
  <si>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</si>
  <si>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</si>
  <si>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</si>
  <si>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</si>
  <si>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</si>
  <si>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</si>
  <si>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</si>
  <si>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</si>
  <si>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</si>
  <si>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</si>
  <si>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</si>
  <si>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</si>
  <si>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</si>
  <si>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</si>
  <si>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</si>
  <si>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</si>
  <si>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</si>
  <si>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</si>
  <si>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</si>
  <si>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</si>
  <si>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</si>
  <si>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</si>
  <si>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</si>
  <si>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</si>
  <si>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</si>
  <si>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</si>
  <si>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</si>
  <si>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</si>
  <si>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</si>
  <si>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</si>
  <si>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</si>
  <si>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</si>
  <si>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</si>
  <si>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</si>
  <si>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</si>
  <si>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</si>
  <si>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</si>
  <si>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</si>
  <si>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</si>
  <si>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</si>
  <si>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</si>
  <si>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</si>
  <si>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</si>
  <si>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</si>
  <si>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</si>
  <si>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</si>
  <si>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</si>
  <si>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</si>
  <si>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</si>
  <si>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</si>
  <si>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</si>
  <si>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</si>
  <si>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</si>
  <si>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</si>
  <si>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</si>
  <si>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</si>
  <si>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</si>
  <si>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</si>
  <si>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</si>
  <si>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</si>
  <si>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</si>
  <si>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</si>
  <si>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</si>
  <si>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</si>
  <si>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</si>
  <si>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</si>
  <si>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</si>
  <si>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</si>
  <si>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</si>
  <si>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</si>
  <si>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</si>
  <si>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</si>
  <si>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</si>
  <si>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</si>
  <si>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</si>
  <si>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</si>
  <si>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</si>
  <si>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</si>
  <si>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</si>
  <si>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</si>
  <si>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</si>
  <si>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</si>
  <si>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</si>
  <si>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</si>
  <si>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</si>
  <si>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</si>
  <si>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</si>
  <si>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</si>
  <si>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</si>
  <si>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</si>
  <si>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</si>
  <si>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</si>
  <si>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</si>
  <si>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</si>
  <si>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</si>
  <si>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</si>
  <si>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</si>
  <si>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</si>
  <si>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</si>
  <si>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</si>
  <si>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</si>
  <si>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</si>
  <si>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</si>
  <si>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</si>
  <si>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</si>
  <si>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</si>
  <si>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</si>
  <si>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</si>
  <si>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</si>
  <si>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</si>
  <si>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</si>
  <si>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</si>
  <si>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</si>
  <si>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</si>
  <si>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</si>
  <si>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</si>
  <si>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</si>
  <si>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</si>
  <si>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</si>
  <si>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</si>
  <si>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</si>
  <si>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</si>
  <si>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</si>
  <si>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</si>
  <si>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</si>
  <si>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</si>
  <si>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</si>
  <si>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</si>
  <si>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</si>
  <si>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</si>
  <si>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</si>
  <si>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</si>
  <si>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</si>
  <si>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</si>
  <si>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</si>
  <si>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</si>
  <si>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</si>
  <si>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</si>
  <si>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</si>
  <si>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</si>
  <si>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</si>
  <si>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</si>
  <si>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</si>
  <si>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</si>
  <si>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</si>
  <si>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</si>
  <si>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</si>
  <si>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</si>
  <si>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</si>
  <si>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</si>
  <si>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</si>
  <si>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</si>
  <si>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</si>
  <si>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</si>
  <si>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</si>
  <si>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</si>
  <si>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</si>
  <si>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</si>
  <si>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</si>
  <si>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</si>
  <si>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</si>
  <si>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</si>
  <si>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</si>
  <si>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</si>
  <si>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</si>
  <si>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</si>
  <si>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</si>
  <si>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</si>
  <si>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</si>
  <si>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</si>
  <si>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</si>
  <si>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</si>
  <si>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</si>
  <si>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</si>
  <si>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</si>
  <si>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</si>
  <si>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</si>
  <si>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</si>
  <si>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</si>
  <si>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</si>
  <si>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</si>
  <si>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</si>
  <si>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</si>
  <si>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</si>
  <si>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</si>
  <si>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</si>
  <si>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</si>
  <si>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</si>
  <si>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</si>
  <si>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</si>
  <si>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</si>
  <si>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</si>
  <si>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</si>
  <si>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</si>
  <si>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</si>
  <si>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</si>
  <si>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</si>
  <si>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</si>
  <si>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</si>
  <si>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</si>
  <si>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</si>
  <si>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</si>
  <si>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</si>
  <si>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</si>
  <si>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</si>
  <si>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</si>
  <si>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</si>
  <si>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</si>
  <si>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</si>
  <si>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</si>
  <si>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</si>
  <si>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</si>
  <si>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</si>
  <si>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</si>
  <si>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</si>
  <si>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</si>
  <si>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</si>
  <si>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</si>
  <si>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</si>
  <si>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</si>
  <si>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</si>
  <si>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</si>
  <si>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</si>
  <si>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</si>
  <si>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</si>
  <si>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</si>
  <si>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</si>
  <si>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</si>
  <si>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</si>
  <si>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</si>
  <si>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</si>
  <si>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</si>
  <si>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</si>
  <si>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</si>
  <si>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</si>
  <si>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</si>
  <si>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</si>
  <si>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</si>
  <si>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</si>
  <si>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</si>
  <si>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</si>
  <si>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</si>
  <si>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</si>
  <si>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</si>
  <si>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</si>
  <si>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</si>
  <si>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</si>
  <si>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</si>
  <si>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</si>
  <si>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</si>
  <si>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</si>
  <si>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</si>
  <si>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</si>
  <si>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</si>
  <si>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</si>
  <si>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</si>
  <si>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</si>
  <si>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</si>
  <si>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</si>
  <si>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</si>
  <si>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</si>
  <si>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</si>
  <si>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</si>
  <si>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</si>
  <si>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</si>
  <si>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</si>
  <si>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</si>
  <si>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</si>
  <si>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</si>
  <si>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</si>
  <si>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</si>
  <si>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</si>
  <si>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</si>
  <si>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</si>
  <si>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</si>
  <si>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</si>
  <si>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</si>
  <si>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</si>
  <si>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</si>
  <si>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</si>
  <si>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</si>
  <si>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</si>
  <si>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</si>
  <si>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</si>
  <si>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</si>
  <si>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</si>
  <si>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</si>
  <si>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</si>
  <si>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</si>
  <si>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</si>
  <si>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</si>
  <si>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</si>
  <si>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</si>
  <si>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</si>
  <si>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</si>
  <si>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</si>
  <si>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</si>
  <si>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</si>
  <si>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</si>
  <si>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</si>
  <si>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</si>
  <si>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</si>
  <si>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</si>
  <si>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</si>
  <si>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</si>
  <si>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</si>
  <si>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</si>
  <si>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</si>
  <si>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</si>
  <si>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</si>
  <si>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</si>
  <si>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</si>
  <si>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</si>
  <si>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</si>
  <si>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</si>
  <si>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</si>
  <si>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</si>
  <si>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</si>
  <si>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</si>
  <si>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</si>
  <si>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</si>
  <si>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</si>
  <si>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</si>
  <si>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</si>
  <si>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</si>
  <si>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</si>
  <si>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</si>
  <si>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</si>
  <si>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</si>
  <si>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</si>
  <si>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</si>
  <si>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</si>
  <si>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</si>
  <si>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</si>
  <si>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</si>
  <si>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</si>
  <si>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</si>
  <si>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</si>
  <si>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</si>
  <si>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</si>
  <si>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</si>
  <si>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</si>
  <si>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</si>
  <si>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</si>
  <si>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</si>
  <si>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</si>
  <si>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</si>
  <si>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</si>
  <si>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</si>
  <si>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</si>
  <si>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</si>
  <si>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</si>
  <si>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</si>
  <si>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</si>
  <si>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</si>
  <si>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</si>
  <si>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</si>
  <si>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</si>
  <si>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</si>
  <si>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</si>
  <si>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</si>
  <si>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</si>
  <si>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</si>
  <si>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</si>
  <si>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</si>
  <si>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</si>
  <si>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</si>
  <si>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</si>
  <si>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</si>
  <si>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</si>
  <si>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</si>
  <si>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</si>
  <si>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</si>
  <si>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</si>
  <si>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</si>
  <si>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</si>
  <si>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</si>
  <si>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</si>
  <si>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</si>
  <si>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</si>
  <si>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</si>
  <si>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</si>
  <si>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</si>
  <si>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</si>
  <si>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</si>
  <si>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</si>
  <si>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</si>
  <si>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</si>
  <si>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</si>
  <si>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</si>
  <si>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</si>
  <si>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</si>
  <si>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</si>
  <si>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</si>
  <si>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</si>
  <si>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</si>
  <si>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</si>
  <si>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</si>
  <si>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</si>
  <si>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</si>
  <si>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</si>
  <si>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</si>
  <si>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</si>
  <si>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</si>
  <si>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</si>
  <si>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</si>
  <si>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</si>
  <si>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</si>
  <si>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</si>
  <si>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</si>
  <si>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</si>
  <si>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</si>
  <si>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</si>
  <si>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</si>
  <si>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</si>
  <si>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</si>
  <si>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</si>
  <si>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</si>
  <si>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</si>
  <si>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</si>
  <si>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</si>
  <si>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</si>
  <si>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</si>
  <si>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</si>
  <si>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</si>
  <si>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</si>
  <si>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</si>
  <si>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</si>
  <si>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</si>
  <si>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</si>
  <si>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</si>
  <si>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</si>
  <si>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</si>
  <si>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</si>
  <si>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</si>
  <si>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</si>
  <si>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</si>
  <si>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</si>
  <si>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</si>
  <si>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</si>
  <si>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</si>
  <si>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</si>
  <si>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</si>
  <si>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</si>
  <si>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</si>
  <si>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</si>
  <si>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</si>
  <si>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</si>
  <si>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</si>
  <si>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</si>
  <si>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</si>
  <si>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</si>
  <si>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</si>
  <si>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</si>
  <si>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</si>
  <si>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</si>
  <si>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</si>
  <si>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</si>
  <si>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</si>
  <si>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</si>
  <si>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</si>
  <si>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</si>
  <si>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</si>
  <si>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</si>
  <si>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</si>
  <si>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</si>
  <si>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</si>
  <si>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</si>
  <si>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</si>
  <si>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</si>
  <si>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</si>
  <si>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</si>
  <si>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</si>
  <si>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</si>
  <si>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</si>
  <si>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</si>
  <si>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</si>
  <si>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</si>
  <si>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</si>
  <si>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</si>
  <si>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</si>
  <si>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</si>
  <si>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</si>
  <si>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</si>
  <si>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</si>
  <si>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</si>
  <si>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</si>
  <si>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</si>
  <si>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</si>
  <si>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</si>
  <si>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</si>
  <si>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</si>
  <si>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</si>
  <si>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</si>
  <si>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</si>
  <si>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</si>
  <si>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</si>
  <si>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</si>
  <si>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</si>
  <si>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</si>
  <si>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</si>
  <si>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</si>
  <si>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</si>
  <si>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</si>
  <si>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</si>
  <si>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</si>
  <si>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</si>
  <si>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</si>
  <si>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</si>
  <si>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</si>
  <si>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</si>
  <si>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</si>
  <si>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</si>
  <si>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</si>
  <si>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</si>
  <si>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</si>
  <si>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</si>
  <si>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</si>
  <si>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</si>
  <si>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</si>
  <si>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</si>
  <si>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</si>
  <si>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</si>
  <si>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</si>
  <si>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</si>
  <si>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</si>
  <si>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</si>
  <si>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</si>
  <si>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</si>
  <si>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</si>
  <si>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</si>
  <si>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</si>
  <si>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</si>
  <si>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</si>
  <si>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</si>
  <si>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</si>
  <si>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</si>
  <si>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</si>
  <si>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</si>
  <si>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</si>
  <si>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</si>
  <si>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</si>
  <si>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</si>
  <si>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</si>
  <si>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</si>
  <si>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</si>
  <si>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</si>
  <si>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</si>
  <si>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</si>
  <si>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</si>
  <si>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</si>
  <si>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</si>
  <si>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</si>
  <si>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</si>
  <si>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</si>
  <si>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</si>
  <si>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</si>
  <si>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</si>
  <si>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</si>
  <si>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</si>
  <si>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</si>
  <si>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</si>
  <si>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</si>
  <si>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</si>
  <si>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</si>
  <si>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</si>
  <si>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</si>
  <si>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</si>
  <si>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</si>
  <si>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</si>
  <si>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</si>
  <si>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</si>
  <si>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</si>
  <si>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</si>
  <si>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</si>
  <si>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</si>
  <si>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</si>
  <si>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</si>
  <si>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</si>
  <si>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</si>
  <si>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</si>
  <si>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</si>
  <si>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</si>
  <si>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</si>
  <si>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</si>
  <si>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</si>
  <si>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</si>
  <si>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</si>
  <si>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</si>
  <si>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</si>
  <si>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</si>
  <si>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</si>
  <si>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</si>
  <si>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</si>
  <si>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</si>
  <si>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</si>
  <si>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</si>
  <si>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</si>
  <si>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</si>
  <si>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</si>
  <si>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</si>
  <si>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</si>
  <si>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</si>
  <si>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</si>
  <si>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</si>
  <si>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</si>
  <si>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</si>
  <si>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</si>
  <si>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</si>
  <si>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</si>
  <si>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</si>
  <si>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</si>
  <si>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</si>
  <si>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</si>
  <si>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</si>
  <si>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</si>
  <si>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</si>
  <si>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</si>
  <si>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</si>
  <si>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</si>
  <si>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</si>
  <si>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</si>
  <si>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</si>
  <si>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</si>
  <si>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</si>
  <si>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</si>
  <si>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</si>
  <si>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</si>
  <si>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</si>
  <si>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</si>
  <si>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</si>
  <si>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</si>
  <si>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</si>
  <si>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</si>
  <si>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</si>
  <si>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</si>
  <si>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</si>
  <si>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</si>
  <si>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</si>
  <si>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</si>
  <si>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</si>
  <si>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</si>
  <si>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</si>
  <si>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</si>
  <si>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</si>
  <si>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</si>
  <si>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</si>
  <si>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</si>
  <si>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</si>
  <si>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</si>
  <si>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</si>
  <si>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</si>
  <si>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</si>
  <si>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</si>
  <si>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</si>
  <si>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</si>
  <si>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</si>
  <si>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</si>
  <si>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</si>
  <si>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</si>
  <si>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</si>
  <si>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</si>
  <si>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</si>
  <si>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</si>
  <si>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</si>
  <si>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</si>
  <si>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</si>
  <si>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</si>
  <si>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</si>
  <si>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</si>
  <si>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</si>
  <si>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</si>
  <si>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</si>
  <si>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</si>
  <si>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</si>
  <si>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</si>
  <si>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</si>
  <si>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</si>
  <si>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</si>
  <si>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</si>
  <si>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</si>
  <si>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</si>
  <si>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</si>
  <si>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</si>
  <si>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</si>
  <si>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</si>
  <si>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</si>
  <si>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</si>
  <si>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</si>
  <si>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</si>
  <si>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</si>
  <si>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</si>
  <si>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</si>
  <si>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</si>
  <si>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</si>
  <si>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</si>
  <si>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</si>
  <si>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</si>
  <si>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</si>
  <si>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</si>
  <si>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</si>
  <si>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</si>
  <si>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</si>
  <si>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</si>
  <si>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</si>
  <si>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</si>
  <si>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</si>
  <si>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</si>
  <si>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</si>
  <si>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</si>
  <si>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</si>
  <si>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</si>
  <si>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</si>
  <si>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</si>
  <si>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</si>
  <si>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</si>
  <si>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</si>
  <si>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</si>
  <si>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</si>
  <si>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</si>
  <si>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</si>
  <si>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</si>
  <si>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</si>
  <si>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</si>
  <si>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</si>
  <si>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</si>
  <si>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</si>
  <si>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</si>
  <si>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</si>
  <si>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</si>
  <si>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</si>
  <si>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</si>
  <si>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</si>
  <si>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</si>
  <si>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</si>
  <si>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</si>
  <si>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</si>
  <si>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</si>
  <si>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</si>
  <si>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</si>
  <si>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</si>
  <si>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</si>
  <si>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</si>
  <si>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</si>
  <si>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</si>
  <si>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</si>
  <si>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</si>
  <si>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</si>
  <si>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</si>
  <si>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</si>
  <si>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</si>
  <si>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</si>
  <si>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</si>
  <si>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</si>
  <si>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</si>
  <si>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</si>
  <si>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</si>
  <si>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</si>
  <si>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</si>
  <si>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</si>
  <si>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</si>
  <si>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</si>
  <si>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</si>
  <si>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</si>
  <si>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</si>
  <si>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</si>
  <si>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</si>
  <si>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</si>
  <si>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</si>
  <si>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</si>
  <si>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</si>
  <si>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</si>
  <si>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</si>
  <si>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</si>
  <si>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</si>
  <si>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</si>
  <si>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</si>
  <si>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</si>
  <si>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</si>
  <si>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</si>
  <si>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</si>
  <si>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</si>
  <si>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</si>
  <si>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</si>
  <si>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</si>
  <si>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</si>
  <si>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</si>
  <si>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</si>
  <si>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</si>
  <si>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</si>
  <si>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</si>
  <si>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</si>
  <si>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</si>
  <si>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</si>
  <si>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</si>
  <si>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</si>
  <si>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</si>
  <si>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</si>
  <si>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</si>
  <si>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</si>
  <si>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</si>
  <si>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</si>
  <si>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</si>
  <si>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</si>
  <si>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</si>
  <si>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</si>
  <si>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</si>
  <si>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</si>
  <si>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</si>
  <si>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</si>
  <si>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</si>
  <si>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</si>
  <si>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</si>
  <si>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</si>
  <si>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</si>
  <si>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</si>
  <si>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</si>
  <si>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</si>
  <si>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</si>
  <si>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</si>
  <si>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</si>
  <si>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</si>
  <si>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</si>
  <si>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</si>
  <si>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</si>
  <si>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</si>
  <si>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</si>
  <si>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</si>
  <si>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</si>
  <si>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</si>
  <si>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</si>
  <si>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</si>
  <si>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</si>
  <si>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</si>
  <si>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</si>
  <si>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</si>
  <si>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</si>
  <si>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</si>
  <si>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</si>
  <si>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</si>
  <si>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</si>
  <si>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</si>
  <si>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</si>
  <si>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</si>
  <si>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</si>
  <si>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</si>
  <si>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</si>
  <si>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</si>
  <si>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</si>
  <si>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</si>
  <si>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</si>
  <si>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</si>
  <si>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</si>
  <si>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</si>
  <si>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</si>
  <si>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</si>
  <si>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</si>
  <si>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</si>
  <si>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</si>
  <si>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</si>
  <si>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</si>
  <si>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</si>
  <si>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</si>
  <si>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</si>
  <si>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</si>
  <si>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</si>
  <si>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</si>
  <si>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</si>
  <si>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</si>
  <si>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</si>
  <si>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</si>
  <si>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</si>
  <si>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</si>
  <si>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</si>
  <si>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</si>
  <si>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</si>
  <si>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</si>
  <si>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</si>
  <si>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</si>
  <si>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</si>
  <si>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</si>
  <si>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</si>
  <si>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</si>
  <si>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</si>
  <si>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</si>
  <si>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</si>
  <si>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</si>
  <si>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</si>
  <si>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</si>
  <si>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</si>
  <si>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</si>
  <si>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</si>
  <si>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</si>
  <si>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</si>
  <si>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</si>
  <si>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</si>
  <si>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</si>
  <si>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</si>
  <si>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</si>
  <si>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</si>
  <si>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</si>
  <si>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</si>
  <si>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</si>
  <si>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</si>
  <si>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</si>
  <si>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</si>
  <si>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</si>
  <si>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</si>
  <si>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</si>
  <si>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</si>
  <si>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</si>
  <si>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</si>
  <si>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</si>
  <si>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</si>
  <si>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</si>
  <si>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</si>
  <si>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</si>
  <si>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</si>
  <si>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</si>
  <si>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</si>
  <si>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</si>
  <si>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</si>
  <si>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</si>
  <si>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</si>
  <si>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</si>
  <si>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</si>
  <si>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</si>
  <si>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</si>
  <si>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</si>
  <si>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</si>
  <si>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</si>
  <si>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</si>
  <si>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</si>
  <si>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</si>
  <si>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</si>
  <si>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</si>
  <si>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</si>
  <si>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</si>
  <si>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</si>
  <si>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</si>
  <si>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</si>
  <si>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</si>
  <si>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</si>
  <si>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</si>
  <si>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</si>
  <si>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</si>
  <si>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</si>
  <si>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</si>
  <si>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</si>
  <si>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</si>
  <si>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</si>
  <si>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</si>
  <si>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</si>
  <si>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</si>
  <si>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</si>
  <si>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</si>
  <si>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</si>
  <si>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</si>
  <si>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</si>
  <si>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</si>
  <si>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</si>
  <si>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</si>
  <si>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</si>
  <si>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</si>
  <si>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</si>
  <si>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</si>
  <si>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</si>
  <si>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</si>
  <si>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</si>
  <si>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</si>
  <si>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</si>
  <si>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</si>
  <si>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</si>
  <si>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</si>
  <si>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</si>
  <si>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</si>
  <si>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</si>
  <si>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</si>
  <si>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</si>
  <si>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</si>
  <si>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</si>
  <si>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</si>
  <si>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</si>
  <si>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</si>
  <si>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</si>
  <si>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</si>
  <si>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</si>
  <si>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</si>
  <si>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</si>
  <si>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</si>
  <si>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</si>
  <si>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</si>
  <si>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</si>
  <si>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</si>
  <si>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</si>
  <si>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</si>
  <si>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</si>
  <si>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</si>
  <si>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</si>
  <si>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</si>
  <si>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</si>
  <si>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</si>
  <si>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</si>
  <si>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</si>
  <si>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</si>
  <si>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</si>
  <si>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</si>
  <si>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</si>
  <si>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</si>
  <si>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</si>
  <si>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</si>
  <si>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</si>
  <si>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</si>
  <si>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</si>
  <si>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</si>
  <si>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</si>
  <si>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</si>
  <si>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</si>
  <si>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</si>
  <si>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</si>
  <si>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</si>
  <si>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</si>
  <si>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</si>
  <si>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</si>
  <si>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</si>
  <si>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</si>
  <si>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</si>
  <si>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</si>
  <si>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</si>
  <si>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</si>
  <si>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</si>
  <si>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</si>
  <si>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</si>
  <si>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</si>
  <si>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</si>
  <si>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</si>
  <si>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</si>
  <si>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</si>
  <si>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</si>
  <si>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</si>
  <si>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</si>
  <si>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</si>
  <si>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</si>
  <si>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</si>
  <si>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</si>
  <si>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</si>
  <si>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</si>
  <si>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</si>
  <si>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</si>
  <si>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</si>
  <si>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</si>
  <si>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</si>
  <si>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</si>
  <si>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</si>
  <si>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</si>
  <si>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</si>
  <si>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</si>
  <si>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</si>
  <si>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</si>
  <si>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</si>
  <si>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</si>
  <si>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</si>
  <si>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</si>
  <si>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</si>
  <si>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</si>
  <si>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</si>
  <si>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</si>
  <si>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</si>
  <si>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</si>
  <si>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</si>
  <si>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</si>
  <si>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</si>
  <si>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</si>
  <si>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</si>
  <si>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</si>
  <si>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</si>
  <si>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</si>
  <si>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</si>
  <si>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</si>
  <si>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</si>
  <si>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</si>
  <si>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</si>
  <si>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</si>
  <si>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</si>
  <si>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</si>
  <si>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</si>
  <si>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</si>
  <si>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</si>
  <si>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</si>
  <si>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</si>
  <si>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</si>
  <si>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</si>
  <si>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</si>
  <si>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</si>
  <si>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</si>
  <si>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</si>
  <si>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</si>
  <si>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</si>
  <si>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</si>
  <si>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</si>
  <si>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</si>
  <si>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</si>
  <si>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</si>
  <si>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</si>
  <si>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</si>
  <si>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</si>
  <si>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</si>
  <si>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</si>
  <si>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</si>
  <si>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</si>
  <si>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</si>
  <si>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</si>
  <si>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</si>
  <si>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</si>
  <si>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</si>
  <si>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</si>
  <si>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</si>
  <si>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</si>
  <si>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</si>
  <si>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</si>
  <si>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</si>
  <si>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</si>
  <si>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</si>
  <si>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</si>
  <si>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</si>
  <si>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</si>
  <si>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</si>
  <si>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</si>
  <si>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</si>
  <si>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</si>
  <si>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</si>
  <si>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</si>
  <si>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</si>
  <si>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</si>
  <si>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</si>
  <si>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</si>
  <si>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</si>
  <si>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</si>
  <si>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</si>
  <si>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</si>
  <si>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</si>
  <si>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</si>
  <si>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</si>
  <si>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</si>
  <si>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</si>
  <si>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</si>
  <si>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</si>
  <si>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</si>
  <si>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</si>
  <si>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</si>
  <si>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</si>
  <si>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</si>
  <si>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</si>
  <si>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</si>
  <si>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</si>
  <si>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</si>
  <si>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</si>
  <si>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</si>
  <si>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</si>
  <si>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</si>
  <si>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</si>
  <si>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</si>
  <si>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</si>
  <si>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</si>
  <si>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</si>
  <si>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</si>
  <si>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</si>
  <si>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</si>
  <si>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</si>
  <si>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</si>
  <si>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</si>
  <si>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</si>
  <si>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</si>
  <si>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</si>
  <si>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</si>
  <si>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</si>
  <si>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</si>
  <si>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</si>
  <si>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</si>
  <si>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</si>
  <si>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</si>
  <si>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</si>
  <si>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</si>
  <si>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</si>
  <si>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</si>
  <si>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</si>
  <si>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</si>
  <si>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</si>
  <si>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</si>
  <si>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</si>
  <si>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</si>
  <si>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</si>
  <si>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</si>
  <si>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</si>
  <si>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</si>
  <si>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</si>
  <si>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</si>
  <si>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</si>
  <si>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</si>
  <si>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</si>
  <si>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</si>
  <si>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</si>
  <si>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</si>
  <si>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</si>
  <si>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</si>
  <si>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</si>
  <si>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</si>
  <si>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</si>
  <si>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</si>
  <si>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</si>
  <si>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</si>
  <si>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</si>
  <si>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</si>
  <si>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</si>
  <si>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</si>
  <si>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</si>
  <si>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</si>
  <si>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</si>
  <si>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</si>
  <si>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</si>
  <si>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</si>
  <si>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</si>
  <si>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</si>
  <si>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</si>
  <si>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</si>
  <si>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</si>
  <si>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</si>
  <si>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</si>
  <si>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</si>
  <si>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</si>
  <si>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</si>
  <si>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</si>
  <si>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</si>
  <si>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</si>
  <si>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</si>
  <si>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</si>
  <si>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</si>
  <si>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</si>
  <si>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</si>
  <si>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</si>
  <si>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</si>
  <si>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</si>
  <si>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</si>
  <si>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</si>
  <si>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</si>
  <si>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</si>
  <si>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</si>
  <si>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</si>
  <si>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</si>
  <si>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</si>
  <si>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</si>
  <si>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</si>
  <si>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</si>
  <si>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</si>
  <si>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</si>
  <si>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</si>
  <si>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</si>
  <si>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</si>
  <si>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</si>
  <si>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</si>
  <si>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</si>
  <si>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</si>
  <si>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</si>
  <si>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</si>
  <si>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</si>
  <si>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</si>
  <si>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</si>
  <si>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</si>
  <si>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</si>
  <si>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</si>
  <si>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</si>
  <si>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</si>
  <si>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</si>
  <si>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</si>
  <si>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</si>
  <si>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</si>
  <si>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</si>
  <si>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</si>
  <si>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</si>
  <si>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</si>
  <si>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</si>
  <si>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</si>
  <si>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</si>
  <si>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</si>
  <si>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</si>
  <si>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</si>
  <si>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</si>
  <si>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</si>
  <si>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</si>
  <si>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</si>
  <si>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</si>
  <si>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</si>
  <si>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</si>
  <si>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</si>
  <si>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</si>
  <si>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</si>
  <si>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</si>
  <si>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</si>
  <si>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</si>
  <si>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</si>
  <si>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</si>
  <si>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</si>
  <si>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</si>
  <si>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</si>
  <si>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</si>
  <si>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</si>
  <si>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</si>
  <si>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</si>
  <si>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</si>
  <si>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</si>
  <si>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</si>
  <si>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</si>
  <si>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</si>
  <si>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</si>
  <si>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</si>
  <si>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</si>
  <si>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</si>
  <si>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</si>
  <si>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</si>
  <si>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</si>
  <si>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</si>
  <si>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</si>
  <si>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</si>
  <si>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</si>
  <si>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</si>
  <si>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</si>
  <si>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</si>
  <si>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</si>
  <si>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</si>
  <si>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</si>
  <si>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</si>
  <si>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</si>
  <si>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</si>
  <si>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</si>
  <si>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</si>
  <si>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</si>
  <si>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</si>
  <si>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</si>
  <si>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</si>
  <si>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</si>
  <si>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</si>
  <si>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</si>
  <si>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</si>
  <si>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</si>
  <si>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</si>
  <si>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</si>
  <si>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</si>
  <si>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</si>
  <si>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</si>
  <si>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</si>
  <si>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</si>
  <si>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</si>
  <si>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</si>
  <si>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</si>
  <si>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</si>
  <si>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</si>
  <si>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</si>
  <si>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</si>
  <si>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</si>
  <si>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</si>
  <si>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</si>
  <si>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</si>
  <si>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</si>
  <si>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</si>
  <si>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</si>
  <si>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</si>
  <si>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</si>
  <si>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</si>
  <si>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</si>
  <si>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</si>
  <si>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</si>
  <si>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</si>
  <si>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</si>
  <si>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</si>
  <si>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</si>
  <si>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</si>
  <si>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</si>
  <si>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</si>
  <si>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</si>
  <si>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</si>
  <si>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</si>
  <si>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</si>
  <si>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</si>
  <si>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</si>
  <si>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</si>
  <si>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</si>
  <si>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</si>
  <si>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</si>
  <si>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</si>
  <si>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</si>
  <si>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</si>
  <si>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</si>
  <si>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</si>
  <si>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</si>
  <si>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</si>
  <si>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</si>
  <si>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</si>
  <si>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</si>
  <si>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</si>
  <si>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</si>
  <si>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</si>
  <si>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</si>
  <si>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</si>
  <si>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</si>
  <si>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</si>
  <si>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</si>
  <si>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</si>
  <si>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</si>
  <si>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</si>
  <si>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</si>
  <si>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</si>
  <si>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</si>
  <si>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</si>
  <si>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</si>
  <si>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</si>
  <si>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</si>
  <si>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</si>
  <si>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</si>
  <si>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</si>
  <si>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</si>
  <si>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</si>
  <si>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</si>
  <si>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</si>
  <si>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</si>
  <si>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</si>
  <si>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</si>
  <si>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</si>
  <si>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</si>
  <si>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</si>
  <si>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</si>
  <si>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</si>
  <si>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</si>
  <si>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</si>
  <si>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</si>
  <si>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</si>
  <si>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</si>
  <si>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</si>
  <si>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</si>
  <si>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</si>
  <si>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</si>
  <si>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</si>
  <si>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</si>
  <si>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</si>
  <si>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</si>
  <si>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</si>
  <si>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</si>
  <si>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</si>
  <si>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</si>
  <si>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</si>
  <si>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</si>
  <si>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</si>
  <si>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</si>
  <si>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</si>
  <si>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</si>
  <si>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</si>
  <si>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</si>
  <si>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</si>
  <si>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</si>
  <si>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</si>
  <si>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</si>
  <si>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</si>
  <si>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</si>
  <si>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</si>
  <si>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</si>
  <si>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</si>
  <si>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</si>
  <si>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</si>
  <si>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</si>
  <si>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</si>
  <si>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</si>
  <si>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</si>
  <si>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</si>
  <si>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</si>
  <si>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</si>
  <si>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</si>
  <si>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</si>
  <si>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</si>
  <si>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</si>
  <si>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</si>
  <si>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</si>
  <si>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</si>
  <si>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</si>
  <si>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</si>
  <si>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</si>
  <si>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</si>
  <si>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</si>
  <si>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</si>
  <si>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</si>
  <si>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</si>
  <si>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</si>
  <si>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</si>
  <si>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</si>
  <si>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</si>
  <si>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</si>
  <si>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</si>
  <si>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</si>
  <si>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</si>
  <si>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</si>
  <si>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</si>
  <si>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</si>
  <si>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</si>
  <si>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</si>
  <si>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</si>
  <si>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</si>
  <si>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</si>
  <si>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</si>
  <si>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</si>
  <si>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</si>
  <si>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</si>
  <si>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</si>
  <si>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</si>
  <si>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</si>
  <si>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</si>
  <si>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</si>
  <si>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</si>
  <si>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</si>
  <si>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</si>
  <si>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</si>
  <si>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</si>
  <si>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</si>
  <si>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</si>
  <si>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</si>
  <si>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</si>
  <si>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</si>
  <si>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</si>
  <si>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</si>
  <si>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</si>
  <si>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</si>
  <si>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</si>
  <si>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</si>
  <si>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</si>
  <si>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</si>
  <si>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</si>
  <si>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</si>
  <si>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</si>
  <si>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</si>
  <si>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</si>
  <si>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</si>
  <si>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</si>
  <si>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</si>
  <si>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</si>
  <si>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</si>
  <si>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</si>
  <si>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</si>
  <si>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</si>
  <si>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</si>
  <si>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</si>
  <si>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</si>
  <si>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</si>
  <si>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</si>
  <si>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</si>
  <si>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</si>
  <si>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</si>
  <si>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</si>
  <si>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</si>
  <si>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</si>
  <si>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</si>
  <si>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</si>
  <si>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</si>
  <si>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</si>
  <si>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</si>
  <si>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</si>
  <si>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</si>
  <si>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</si>
  <si>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</si>
  <si>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</si>
  <si>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</si>
  <si>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</si>
  <si>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</si>
  <si>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</si>
  <si>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</si>
  <si>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</si>
  <si>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</si>
  <si>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</si>
  <si>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</si>
  <si>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</si>
  <si>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</si>
  <si>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</si>
  <si>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</si>
  <si>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</si>
  <si>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</si>
  <si>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</si>
  <si>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</si>
  <si>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</si>
  <si>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</si>
  <si>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</si>
  <si>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</si>
  <si>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</si>
  <si>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</si>
  <si>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</si>
  <si>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</si>
  <si>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</si>
  <si>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</si>
  <si>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</si>
  <si>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</si>
  <si>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</si>
  <si>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</si>
  <si>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</si>
  <si>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</si>
  <si>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</si>
  <si>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</si>
  <si>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</si>
  <si>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</si>
  <si>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</si>
  <si>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</si>
  <si>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</si>
  <si>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</si>
  <si>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</si>
  <si>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</si>
  <si>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</si>
  <si>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</si>
  <si>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</si>
  <si>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</si>
  <si>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</si>
  <si>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</si>
  <si>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</si>
  <si>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</si>
  <si>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</si>
  <si>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</si>
  <si>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</si>
  <si>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</si>
  <si>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</si>
  <si>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</si>
  <si>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</si>
  <si>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</si>
  <si>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</si>
  <si>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</si>
  <si>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</si>
  <si>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</si>
  <si>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</si>
  <si>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</si>
  <si>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</si>
  <si>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</si>
  <si>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</si>
  <si>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</si>
  <si>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</si>
  <si>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</si>
  <si>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</si>
  <si>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</si>
  <si>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</si>
  <si>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</si>
  <si>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</si>
  <si>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</si>
  <si>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</si>
  <si>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</si>
  <si>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</si>
  <si>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</si>
  <si>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</si>
  <si>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</si>
  <si>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</si>
  <si>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</si>
  <si>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</si>
  <si>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</si>
  <si>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</si>
  <si>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</si>
  <si>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</si>
  <si>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</si>
  <si>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</si>
  <si>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</si>
  <si>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</si>
  <si>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</si>
  <si>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</si>
  <si>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</si>
  <si>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</si>
  <si>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</si>
  <si>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</si>
  <si>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</si>
  <si>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</si>
  <si>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</si>
  <si>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</si>
  <si>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</si>
  <si>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</si>
  <si>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</si>
  <si>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</si>
  <si>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</si>
  <si>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</si>
  <si>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</si>
  <si>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</si>
  <si>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</si>
  <si>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</si>
  <si>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</si>
  <si>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</si>
  <si>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</si>
  <si>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</si>
  <si>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</si>
  <si>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</si>
  <si>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</si>
  <si>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</si>
  <si>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</si>
  <si>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</si>
  <si>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</si>
  <si>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</si>
  <si>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</si>
  <si>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</si>
  <si>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</si>
  <si>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</si>
  <si>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</si>
  <si>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</si>
  <si>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</si>
  <si>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</si>
  <si>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</si>
  <si>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</si>
  <si>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</si>
  <si>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</si>
  <si>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</si>
  <si>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</si>
  <si>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</si>
  <si>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</si>
  <si>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</si>
  <si>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</si>
  <si>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</si>
  <si>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</si>
  <si>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</si>
  <si>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</si>
  <si>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</si>
  <si>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</si>
  <si>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</si>
  <si>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</si>
  <si>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</si>
  <si>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</si>
  <si>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</si>
  <si>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</si>
  <si>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</si>
  <si>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</si>
  <si>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</si>
  <si>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</si>
  <si>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</si>
  <si>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</si>
  <si>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</si>
  <si>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</si>
  <si>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</si>
  <si>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</si>
  <si>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</si>
  <si>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</si>
  <si>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</si>
  <si>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</si>
  <si>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</si>
  <si>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</si>
  <si>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</si>
  <si>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</si>
  <si>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</si>
  <si>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</si>
  <si>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</si>
  <si>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</si>
  <si>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</si>
  <si>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</si>
  <si>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</si>
  <si>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</si>
  <si>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</si>
  <si>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</si>
  <si>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</si>
  <si>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</si>
  <si>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</si>
  <si>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</si>
  <si>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</si>
  <si>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</si>
  <si>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</si>
  <si>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</si>
  <si>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</si>
  <si>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</si>
  <si>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</si>
  <si>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</si>
  <si>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</si>
  <si>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</si>
  <si>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</si>
  <si>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</si>
  <si>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</si>
  <si>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</si>
  <si>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</si>
  <si>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</si>
  <si>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</si>
  <si>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</si>
  <si>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</si>
  <si>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</si>
  <si>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</si>
  <si>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</si>
  <si>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</si>
  <si>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</si>
  <si>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</si>
  <si>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</si>
  <si>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</si>
  <si>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</si>
  <si>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</si>
  <si>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</si>
  <si>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</si>
  <si>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</si>
  <si>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</si>
  <si>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</si>
  <si>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</si>
  <si>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</si>
  <si>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</si>
  <si>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</si>
  <si>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</si>
  <si>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</si>
  <si>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</si>
  <si>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</si>
  <si>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</si>
  <si>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</si>
  <si>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</si>
  <si>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</si>
  <si>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</si>
  <si>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</si>
  <si>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</si>
  <si>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</si>
  <si>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</si>
  <si>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</si>
  <si>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</si>
  <si>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</si>
  <si>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</si>
  <si>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</si>
  <si>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</si>
  <si>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</si>
  <si>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</si>
  <si>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</si>
  <si>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</si>
  <si>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</si>
  <si>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</si>
  <si>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</si>
  <si>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</si>
  <si>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</si>
  <si>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</si>
  <si>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</si>
  <si>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</si>
  <si>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</si>
  <si>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</si>
  <si>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</si>
  <si>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</si>
  <si>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</si>
  <si>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</si>
  <si>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</si>
  <si>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</si>
  <si>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</si>
  <si>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</si>
  <si>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</si>
  <si>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</si>
  <si>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</si>
  <si>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</si>
  <si>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</si>
  <si>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</si>
  <si>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</si>
  <si>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</si>
  <si>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</si>
  <si>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</si>
  <si>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</si>
  <si>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</si>
  <si>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</si>
  <si>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</si>
  <si>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</si>
  <si>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</si>
  <si>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</si>
  <si>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</si>
  <si>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</si>
  <si>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</si>
  <si>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</si>
  <si>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</si>
  <si>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</si>
  <si>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</si>
  <si>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</si>
  <si>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</si>
  <si>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</si>
  <si>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</si>
  <si>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</si>
  <si>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</si>
  <si>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</si>
  <si>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</si>
  <si>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</si>
  <si>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</si>
  <si>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</si>
  <si>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</si>
  <si>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</si>
  <si>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</si>
  <si>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</si>
  <si>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</si>
  <si>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</si>
  <si>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</si>
  <si>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</si>
  <si>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</si>
  <si>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</si>
  <si>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</si>
  <si>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</si>
  <si>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</si>
  <si>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</si>
  <si>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</si>
  <si>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</si>
  <si>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</si>
  <si>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</si>
  <si>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</si>
  <si>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</si>
  <si>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</si>
  <si>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</si>
  <si>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</si>
  <si>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</si>
  <si>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</si>
  <si>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</si>
  <si>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</si>
  <si>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</si>
  <si>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</si>
  <si>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</si>
  <si>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</si>
  <si>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</si>
  <si>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</si>
  <si>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</si>
  <si>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</si>
  <si>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</si>
  <si>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</si>
  <si>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</si>
  <si>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</si>
  <si>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</si>
  <si>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</si>
  <si>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</si>
  <si>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</si>
  <si>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</si>
  <si>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</si>
  <si>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</si>
  <si>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</si>
  <si>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</si>
  <si>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</si>
  <si>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</si>
  <si>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</si>
  <si>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</si>
  <si>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</si>
  <si>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</si>
  <si>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</si>
  <si>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</si>
  <si>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</si>
  <si>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</si>
  <si>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</si>
  <si>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</si>
  <si>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</si>
  <si>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</si>
  <si>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</si>
  <si>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</si>
  <si>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</si>
  <si>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</si>
  <si>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</si>
  <si>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</si>
  <si>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</si>
  <si>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</si>
  <si>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</si>
  <si>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</si>
  <si>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</si>
  <si>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</si>
  <si>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</si>
  <si>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</si>
  <si>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</si>
  <si>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</si>
  <si>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</si>
  <si>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</si>
  <si>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</si>
  <si>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</si>
  <si>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</si>
  <si>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</si>
  <si>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</si>
  <si>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</si>
  <si>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</si>
  <si>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</si>
  <si>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</si>
  <si>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</si>
  <si>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</si>
  <si>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</si>
  <si>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</si>
  <si>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</si>
  <si>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</si>
  <si>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</si>
  <si>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</si>
  <si>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</si>
  <si>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</si>
  <si>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</si>
  <si>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</si>
  <si>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</si>
  <si>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</si>
  <si>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</si>
  <si>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</si>
  <si>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</si>
  <si>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</si>
  <si>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</si>
  <si>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</si>
  <si>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</si>
  <si>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</si>
  <si>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</si>
  <si>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</si>
  <si>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</si>
  <si>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</si>
  <si>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</si>
  <si>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</si>
  <si>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Clinton, Marion, &amp; Washington</t>
  </si>
  <si>
    <t>224 South Locust</t>
  </si>
  <si>
    <t>Centralia</t>
  </si>
  <si>
    <t>Cassie Clark</t>
  </si>
  <si>
    <t>618-532-4721</t>
  </si>
  <si>
    <t>618-532-0004</t>
  </si>
  <si>
    <t>Leymone Hardcastle &amp; Co., Ltd</t>
  </si>
  <si>
    <t>Sara E. Hanks, CPA</t>
  </si>
  <si>
    <t>200 West Main Street</t>
  </si>
  <si>
    <t>Salem</t>
  </si>
  <si>
    <t>IL</t>
  </si>
  <si>
    <t>618-548-1002</t>
  </si>
  <si>
    <t>618-548-1018</t>
  </si>
  <si>
    <t>060-001832</t>
  </si>
  <si>
    <t>10-1999 Various sources of revenue ($90,270)</t>
  </si>
  <si>
    <t>2900 (300) Other support services ($40)</t>
  </si>
  <si>
    <t>Copier Operating Lease</t>
  </si>
  <si>
    <t>Copier/printer lease</t>
  </si>
  <si>
    <t>Schedule of Long-Term Debt:  Any differences ($52,944) - removed operating lease from the schedule of long-term debt</t>
  </si>
  <si>
    <t>Egyptian Employee Benefits Trust</t>
  </si>
  <si>
    <t>The District is responsible for the preparation of the annual financial report including disclosures.</t>
  </si>
  <si>
    <t>The District relies on the audit firm to prepare these financial statements and disclosures.</t>
  </si>
  <si>
    <t>The audit firm prepares the financial statements and disclosures, then goes over them with the District's management and board.  The District does not maintain an accountant on staff to prepare the financial statements and disclosures.</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</si>
  <si>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</si>
  <si>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</si>
  <si>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cost/benefit, we do not recommend any changes at this time.  We will continue to work with the District to ensure both management and the Board has a thorough understanding of these financial statements and disclosures.</t>
  </si>
  <si>
    <t>Due to the cost/benefit of addressing this issue, no action is planned at this time.</t>
  </si>
  <si>
    <t>2018-001</t>
  </si>
  <si>
    <t>The District relies on the audit firm to prepare those financial</t>
  </si>
  <si>
    <t>statements and disclosures.</t>
  </si>
  <si>
    <t>Due to the cost/benefit, no action was anticipated</t>
  </si>
  <si>
    <t>2018-002</t>
  </si>
  <si>
    <t>The treasurer's bond level was below the minimum level based</t>
  </si>
  <si>
    <t>upon calculations performed.</t>
  </si>
  <si>
    <t>The treasurer's bond coverage was increased.</t>
  </si>
  <si>
    <t>United States Department of Agriculture</t>
  </si>
  <si>
    <t>Passed through Illinois State Board of Education</t>
  </si>
  <si>
    <t>Child Nutrition Cluster</t>
  </si>
  <si>
    <t xml:space="preserve">   National School Lunch Program</t>
  </si>
  <si>
    <t xml:space="preserve">   Noncash Commodity Assistance</t>
  </si>
  <si>
    <t xml:space="preserve">   School Breakfast Program</t>
  </si>
  <si>
    <t>Total Child Nutrition Cluster</t>
  </si>
  <si>
    <t>Total United Stated Department of Agriculture</t>
  </si>
  <si>
    <t>N/A</t>
  </si>
  <si>
    <t>United States Department of Education</t>
  </si>
  <si>
    <t>Special Education Cluster</t>
  </si>
  <si>
    <t xml:space="preserve">   Special Ed Pre School Flow Through (M)</t>
  </si>
  <si>
    <t xml:space="preserve">   Special Ed IDEA Flow Through (M)</t>
  </si>
  <si>
    <t>Total Special Education Cluster</t>
  </si>
  <si>
    <t>Total United States Department of Education</t>
  </si>
  <si>
    <t>United States Dept. of Health and Human Services</t>
  </si>
  <si>
    <t>Passed through IL Dept of Healcare and Family Serv.</t>
  </si>
  <si>
    <t xml:space="preserve">   Medical Assistance Program</t>
  </si>
  <si>
    <t>Total United States Dept. of Health and Human Serv.</t>
  </si>
  <si>
    <t>Total Federal Funds</t>
  </si>
  <si>
    <t>Refund from Co-op Salem Elementary School to be reimbursed to ISBE</t>
  </si>
  <si>
    <t>13 School districts that participate in the joint agreement</t>
  </si>
  <si>
    <t>30 School districts that participate in the joint agreement</t>
  </si>
  <si>
    <t>ADVERSE</t>
  </si>
  <si>
    <t>Unmodified</t>
  </si>
  <si>
    <t>Special Ed Preschool Flow Through</t>
  </si>
  <si>
    <t>Special Ed IDEA Flow Through</t>
  </si>
  <si>
    <r>
      <t xml:space="preserve">The accompanying Schedule of Expenditures of Federal Awards includes the federal grant activity of </t>
    </r>
    <r>
      <rPr>
        <b/>
        <sz val="9"/>
        <rFont val="Calibri"/>
        <family val="2"/>
        <scheme val="minor"/>
      </rPr>
      <t>Kaskaskia Special Education District #801</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</si>
  <si>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Kaskaskia Special Education District #801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</si>
  <si>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Kaskaskia Special Education District #801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</si>
  <si>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ED-Operations &amp; Maintenance of Plant Services</t>
  </si>
  <si>
    <t>10-2540-600</t>
  </si>
  <si>
    <t>XT Solutions</t>
  </si>
  <si>
    <t>Kaskaskia Spec Educ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</si>
</sst>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1108364</xdr:colOff>
          <xdr:row>2</xdr:row>
          <xdr:rowOff>17319</xdr:rowOff>
        </xdr:from>
        <xdr:to>
          <xdr:col>1</xdr:col>
          <xdr:colOff>2019300</xdr:colOff>
          <xdr:row>6</xdr:row>
          <xdr:rowOff>55419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2199409</xdr:colOff>
          <xdr:row>2</xdr:row>
          <xdr:rowOff>25978</xdr:rowOff>
        </xdr:from>
        <xdr:to>
          <xdr:col>1</xdr:col>
          <xdr:colOff>3110345</xdr:colOff>
          <xdr:row>6</xdr:row>
          <xdr:rowOff>64077</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view="pageLayout"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1" t="s">
        <v>405</v>
      </c>
      <c r="J1" s="1982"/>
      <c r="K1" s="1982"/>
      <c r="L1" s="1982"/>
      <c r="M1" s="1982"/>
      <c r="N1" s="1982"/>
      <c r="O1" s="1982"/>
      <c r="P1" s="1982"/>
      <c r="Q1" s="1982"/>
      <c r="R1" s="1982"/>
      <c r="S1" s="1982"/>
    </row>
    <row r="2" spans="1:28" ht="12" customHeight="1" x14ac:dyDescent="0.2">
      <c r="A2" s="47" t="s">
        <v>1989</v>
      </c>
      <c r="D2" s="48"/>
      <c r="I2" s="1983" t="s">
        <v>979</v>
      </c>
      <c r="J2" s="1982"/>
      <c r="K2" s="1982"/>
      <c r="L2" s="1982"/>
      <c r="M2" s="1982"/>
      <c r="N2" s="1982"/>
      <c r="O2" s="1982"/>
      <c r="P2" s="1982"/>
      <c r="Q2" s="1982"/>
      <c r="R2" s="1982"/>
      <c r="S2" s="1982"/>
    </row>
    <row r="3" spans="1:28" ht="12" customHeight="1" x14ac:dyDescent="0.2">
      <c r="A3" s="155" t="s">
        <v>1941</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c r="C5" s="26" t="s">
        <v>910</v>
      </c>
      <c r="D5" s="84"/>
      <c r="E5" s="84"/>
      <c r="H5" s="38"/>
      <c r="I5" s="1991" t="s">
        <v>680</v>
      </c>
      <c r="J5" s="1990"/>
      <c r="K5" s="1990"/>
      <c r="L5" s="1990"/>
      <c r="M5" s="1990"/>
      <c r="N5" s="1990"/>
      <c r="O5" s="1990"/>
      <c r="P5" s="1990"/>
      <c r="Q5" s="1990"/>
      <c r="R5" s="1990"/>
      <c r="S5" s="1990"/>
    </row>
    <row r="6" spans="1:28" ht="14.1" customHeight="1" x14ac:dyDescent="0.2">
      <c r="B6" s="104" t="s">
        <v>2061</v>
      </c>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2061</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13058801060</v>
      </c>
      <c r="B13" s="2017"/>
      <c r="C13" s="2017"/>
      <c r="D13" s="2017"/>
      <c r="E13" s="2017"/>
      <c r="F13" s="2017"/>
      <c r="G13" s="2017"/>
      <c r="H13" s="2018"/>
      <c r="I13" s="31"/>
      <c r="J13" s="30"/>
      <c r="K13" s="28"/>
      <c r="L13" s="30"/>
      <c r="M13" s="30"/>
      <c r="N13" s="30"/>
      <c r="O13" s="30"/>
      <c r="P13" s="30"/>
      <c r="Q13" s="30"/>
      <c r="R13" s="30"/>
      <c r="S13" s="30"/>
      <c r="T13" s="2021" t="s">
        <v>2068</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2062</v>
      </c>
      <c r="B15" s="2019"/>
      <c r="C15" s="2019"/>
      <c r="D15" s="2019"/>
      <c r="E15" s="2019"/>
      <c r="F15" s="2019"/>
      <c r="G15" s="2019"/>
      <c r="H15" s="2020"/>
      <c r="T15" s="2025" t="s">
        <v>2069</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2130</v>
      </c>
      <c r="B17" s="1976"/>
      <c r="C17" s="1976"/>
      <c r="D17" s="1976"/>
      <c r="E17" s="1976"/>
      <c r="F17" s="1976"/>
      <c r="G17" s="1976"/>
      <c r="H17" s="2001"/>
      <c r="T17" s="2032" t="s">
        <v>2070</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2063</v>
      </c>
      <c r="B19" s="1961"/>
      <c r="C19" s="1961"/>
      <c r="D19" s="1961"/>
      <c r="E19" s="1961"/>
      <c r="F19" s="1961"/>
      <c r="G19" s="1961"/>
      <c r="H19" s="1941"/>
      <c r="I19" s="30"/>
      <c r="J19" s="99"/>
      <c r="K19" s="40"/>
      <c r="L19" s="38"/>
      <c r="M19" s="112" t="s">
        <v>315</v>
      </c>
      <c r="P19" s="27"/>
      <c r="Q19" s="27"/>
      <c r="R19" s="27"/>
      <c r="S19" s="31"/>
      <c r="T19" s="2015" t="s">
        <v>2071</v>
      </c>
      <c r="U19" s="1940"/>
      <c r="V19" s="1940"/>
      <c r="W19" s="1941"/>
      <c r="X19" s="2030" t="s">
        <v>2072</v>
      </c>
      <c r="Y19" s="2031"/>
      <c r="Z19" s="2028">
        <v>62881</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2064</v>
      </c>
      <c r="B21" s="1940"/>
      <c r="C21" s="1940"/>
      <c r="D21" s="1940"/>
      <c r="E21" s="1940"/>
      <c r="F21" s="1940"/>
      <c r="G21" s="1940"/>
      <c r="H21" s="1941"/>
      <c r="I21" s="1995" t="s">
        <v>678</v>
      </c>
      <c r="J21" s="1990"/>
      <c r="K21" s="1990"/>
      <c r="L21" s="1990"/>
      <c r="M21" s="1990"/>
      <c r="N21" s="1990"/>
      <c r="O21" s="1990"/>
      <c r="P21" s="1990"/>
      <c r="Q21" s="1990"/>
      <c r="R21" s="1990"/>
      <c r="S21" s="1996"/>
      <c r="T21" s="2039" t="s">
        <v>2073</v>
      </c>
      <c r="U21" s="2040"/>
      <c r="V21" s="2040"/>
      <c r="W21" s="2040"/>
      <c r="X21" s="2045" t="s">
        <v>2074</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2075</v>
      </c>
      <c r="U23" s="2038"/>
      <c r="V23" s="2038"/>
      <c r="W23" s="2038"/>
      <c r="X23" s="2042"/>
      <c r="Y23" s="2043"/>
      <c r="Z23" s="2043"/>
      <c r="AA23" s="2044"/>
    </row>
    <row r="24" spans="1:27" ht="14.1" customHeight="1" x14ac:dyDescent="0.2">
      <c r="A24" s="88" t="s">
        <v>677</v>
      </c>
      <c r="B24" s="49"/>
      <c r="C24" s="49"/>
      <c r="D24" s="49"/>
      <c r="E24" s="49"/>
      <c r="F24" s="49"/>
      <c r="G24" s="49"/>
      <c r="H24" s="61"/>
      <c r="J24" s="1962" t="str">
        <f>IF(B5="x",IF(AUDITCHECK!D29="AFR form Incomplete.","",IF(AUDITCHECK!D29="Deficit reduction plan is required.","School District must complete a deficit reduction plan in the 2019-2020 Budget",)),"")</f>
        <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62801</v>
      </c>
      <c r="B25" s="1940"/>
      <c r="C25" s="1940"/>
      <c r="D25" s="1940"/>
      <c r="E25" s="1940"/>
      <c r="F25" s="1940"/>
      <c r="G25" s="1940"/>
      <c r="H25" s="1941"/>
      <c r="I25" s="113"/>
      <c r="J25" s="1964"/>
      <c r="K25" s="1964"/>
      <c r="L25" s="1964"/>
      <c r="M25" s="1964"/>
      <c r="N25" s="1964"/>
      <c r="O25" s="1964"/>
      <c r="P25" s="1964"/>
      <c r="Q25" s="1964"/>
      <c r="R25" s="1964"/>
      <c r="S25" s="1965"/>
      <c r="T25" s="2035"/>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02"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t="s">
        <v>2061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2065</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2066</v>
      </c>
      <c r="B42" s="1959"/>
      <c r="C42" s="1960"/>
      <c r="D42" s="1958" t="s">
        <v>2067</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7" right="0.2" top="0.75" bottom="0.52" header="0.19" footer="0.17"/>
  <pageSetup scale="73" orientation="landscape" r:id="rId3"/>
  <headerFooter alignWithMargins="0">
    <oddFooter>&amp;C- 8 -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5" t="s">
        <v>1611</v>
      </c>
    </row>
    <row r="23" spans="1:5" x14ac:dyDescent="0.2">
      <c r="A23" s="168"/>
      <c r="B23" s="162" t="s">
        <v>1853</v>
      </c>
      <c r="D23" s="167" t="s">
        <v>637</v>
      </c>
      <c r="E23" s="1835"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headerFooter>
    <oddHeader>&amp;CKaskaskia Special Education District #801</oddHeader>
    <oddFooter xml:space="preserve">&amp;LSee accompanying notes to the financial statements.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76" colorId="8" zoomScaleNormal="110" workbookViewId="0">
      <selection activeCell="D11" sqref="D1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2068</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34" right="0.16" top="0.65" bottom="0.55000000000000004" header="0.43" footer="0.33"/>
  <pageSetup scale="85" firstPageNumber="2" orientation="portrait" useFirstPageNumber="1" r:id="rId1"/>
  <headerFooter differentOddEven="1" alignWithMargins="0">
    <oddHeader>&amp;CKaskaskia Special Education District #801</oddHeader>
    <oddFooter>&amp;L&amp;9See accompanying notes to the financial statements.
&amp;C- 9 -</oddFooter>
    <evenFooter>&amp;L&amp;9See accompanying notes to the financial statements.&amp;10
&amp;C- 10 -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Layout" colorId="8"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1">
        <f>ROUND(D10+F10+H10,5)</f>
        <v>0</v>
      </c>
      <c r="K10" s="222"/>
      <c r="L10" s="355"/>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9278529</v>
      </c>
      <c r="E16" s="356"/>
      <c r="F16" s="1732">
        <f>SUM('Acct Summary 7-8'!C17,'Acct Summary 7-8'!D17,'Acct Summary 7-8'!F17)</f>
        <v>9668747</v>
      </c>
      <c r="G16" s="356"/>
      <c r="H16" s="1732">
        <f>SUM(D16-F16)</f>
        <v>-390218</v>
      </c>
      <c r="I16" s="222"/>
      <c r="J16" s="1732">
        <f>SUM('Acct Summary 7-8'!C81,'Acct Summary 7-8'!D81,'Acct Summary 7-8'!F81,'Acct Summary 7-8'!I81)</f>
        <v>2198921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85" bottom="0.64" header="0.47" footer="0.31"/>
  <pageSetup scale="90" firstPageNumber="3" orientation="portrait" useFirstPageNumber="1" r:id="rId1"/>
  <headerFooter alignWithMargins="0">
    <oddHeader>&amp;CKaskaskia Special Education District #801</oddHeader>
    <oddFooter>&amp;L&amp;8See accompanying notes to the financial statements.
&amp;C- 11 -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topLeftCell="A19"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Kaskaskia Spec Educ District</v>
      </c>
      <c r="E7" s="391"/>
      <c r="G7" s="252"/>
      <c r="H7" s="387"/>
      <c r="I7" s="387"/>
      <c r="J7" s="387"/>
      <c r="K7" s="387"/>
      <c r="L7" s="329"/>
      <c r="M7" s="329"/>
      <c r="N7" s="329"/>
      <c r="O7" s="329"/>
      <c r="P7" s="329"/>
    </row>
    <row r="8" spans="1:18" ht="12.75" x14ac:dyDescent="0.2">
      <c r="A8" s="329"/>
      <c r="B8" s="329"/>
      <c r="C8" s="389" t="s">
        <v>1125</v>
      </c>
      <c r="D8" s="392">
        <f>COVER!A13</f>
        <v>13058801060</v>
      </c>
      <c r="E8" s="393"/>
      <c r="G8" s="329"/>
      <c r="H8" s="329"/>
      <c r="I8" s="329"/>
      <c r="J8" s="329"/>
      <c r="K8" s="329"/>
      <c r="L8" s="329"/>
      <c r="M8" s="329"/>
      <c r="N8" s="329"/>
      <c r="O8" s="329"/>
      <c r="P8" s="329"/>
    </row>
    <row r="9" spans="1:18" ht="12.75" x14ac:dyDescent="0.2">
      <c r="A9" s="329"/>
      <c r="B9" s="329"/>
      <c r="C9" s="389" t="s">
        <v>713</v>
      </c>
      <c r="D9" s="394" t="str">
        <f>COVER!A15</f>
        <v>Clinton, Marion, &amp; Washington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2198921</v>
      </c>
      <c r="I12" s="404"/>
      <c r="J12" s="404"/>
      <c r="K12" s="405">
        <f>TRUNC((H12/H13*100000),5)/100000</f>
        <v>0.23699025989999997</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9278529</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9668747</v>
      </c>
      <c r="I17" s="404"/>
      <c r="J17" s="416"/>
      <c r="K17" s="405">
        <f>TRUNC((H17/H18*100000),5)/100000</f>
        <v>1.0420560198000002</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9278529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3.2573281999999999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2199127</v>
      </c>
      <c r="I24" s="422"/>
      <c r="J24" s="422"/>
      <c r="K24" s="423">
        <f>TRUNC(((H24/H25*100000)/100000),2)</f>
        <v>81.88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26857.630560000001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68" header="0.39" footer="0.28000000000000003"/>
  <pageSetup scale="85" firstPageNumber="4" orientation="landscape" useFirstPageNumber="1" r:id="rId3"/>
  <headerFooter alignWithMargins="0">
    <oddHeader>&amp;CKaskaskia Special Education District #801</oddHeader>
    <oddFooter>&amp;L&amp;8See accompanying notes to the financial statements.
&amp;C- 12 -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16" activePane="bottomLeft" state="frozen"/>
      <selection pane="bottomLeft" activeCell="O40" sqref="O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2199127</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2199127</v>
      </c>
      <c r="D13" s="1736">
        <f t="shared" ref="D13:L13" si="0">SUM(D4:D12)</f>
        <v>0</v>
      </c>
      <c r="E13" s="1736">
        <f t="shared" si="0"/>
        <v>0</v>
      </c>
      <c r="F13" s="1736">
        <f t="shared" si="0"/>
        <v>0</v>
      </c>
      <c r="G13" s="1736">
        <f t="shared" si="0"/>
        <v>0</v>
      </c>
      <c r="H13" s="1736">
        <f t="shared" si="0"/>
        <v>0</v>
      </c>
      <c r="I13" s="1736">
        <f t="shared" si="0"/>
        <v>0</v>
      </c>
      <c r="J13" s="1736">
        <f t="shared" si="0"/>
        <v>0</v>
      </c>
      <c r="K13" s="1736">
        <f t="shared" si="0"/>
        <v>0</v>
      </c>
      <c r="L13" s="1736">
        <f t="shared" si="0"/>
        <v>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51500</v>
      </c>
      <c r="N16" s="484"/>
    </row>
    <row r="17" spans="1:14" s="485" customFormat="1" ht="12.75" customHeight="1" x14ac:dyDescent="0.2">
      <c r="A17" s="482" t="s">
        <v>1403</v>
      </c>
      <c r="B17" s="483">
        <v>230</v>
      </c>
      <c r="C17" s="477"/>
      <c r="D17" s="477"/>
      <c r="E17" s="477"/>
      <c r="F17" s="477"/>
      <c r="G17" s="477"/>
      <c r="H17" s="477"/>
      <c r="I17" s="477"/>
      <c r="J17" s="477"/>
      <c r="K17" s="477"/>
      <c r="L17" s="477"/>
      <c r="M17" s="467">
        <v>1323558</v>
      </c>
      <c r="N17" s="484"/>
    </row>
    <row r="18" spans="1:14" s="485" customFormat="1" ht="12.75" customHeight="1" x14ac:dyDescent="0.2">
      <c r="A18" s="482" t="s">
        <v>1404</v>
      </c>
      <c r="B18" s="483">
        <v>240</v>
      </c>
      <c r="C18" s="477"/>
      <c r="D18" s="477"/>
      <c r="E18" s="477"/>
      <c r="F18" s="477"/>
      <c r="G18" s="477"/>
      <c r="H18" s="477"/>
      <c r="I18" s="477"/>
      <c r="J18" s="477"/>
      <c r="K18" s="477"/>
      <c r="L18" s="477"/>
      <c r="M18" s="467">
        <v>72913</v>
      </c>
      <c r="N18" s="484"/>
    </row>
    <row r="19" spans="1:14" s="485" customFormat="1" ht="12.75" customHeight="1" x14ac:dyDescent="0.2">
      <c r="A19" s="482" t="s">
        <v>1405</v>
      </c>
      <c r="B19" s="483">
        <v>250</v>
      </c>
      <c r="C19" s="477"/>
      <c r="D19" s="477"/>
      <c r="E19" s="477"/>
      <c r="F19" s="477"/>
      <c r="G19" s="477"/>
      <c r="H19" s="477"/>
      <c r="I19" s="477"/>
      <c r="J19" s="477"/>
      <c r="K19" s="477"/>
      <c r="L19" s="477"/>
      <c r="M19" s="467">
        <v>393807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5" t="s">
        <v>643</v>
      </c>
      <c r="B23" s="1740"/>
      <c r="C23" s="468"/>
      <c r="D23" s="468"/>
      <c r="E23" s="468"/>
      <c r="F23" s="468"/>
      <c r="G23" s="468"/>
      <c r="H23" s="468"/>
      <c r="I23" s="468"/>
      <c r="J23" s="468"/>
      <c r="K23" s="468"/>
      <c r="L23" s="468"/>
      <c r="M23" s="1687">
        <f>SUM(M15:M22)</f>
        <v>1841778</v>
      </c>
      <c r="N23" s="1687">
        <f>SUM(N21:N22)</f>
        <v>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206</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7" t="s">
        <v>654</v>
      </c>
      <c r="B34" s="1738"/>
      <c r="C34" s="1739">
        <f>SUM(C25:C33)</f>
        <v>206</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5" t="s">
        <v>653</v>
      </c>
      <c r="B37" s="1740"/>
      <c r="C37" s="477"/>
      <c r="D37" s="477"/>
      <c r="E37" s="477"/>
      <c r="F37" s="477"/>
      <c r="G37" s="477"/>
      <c r="H37" s="477"/>
      <c r="I37" s="477"/>
      <c r="J37" s="477"/>
      <c r="K37" s="477"/>
      <c r="L37" s="480"/>
      <c r="M37" s="468"/>
      <c r="N37" s="1687">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2198921</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1841778</v>
      </c>
      <c r="N40" s="497"/>
    </row>
    <row r="41" spans="1:14" ht="13.5" customHeight="1" thickBot="1" x14ac:dyDescent="0.25">
      <c r="A41" s="1735" t="s">
        <v>655</v>
      </c>
      <c r="B41" s="1705"/>
      <c r="C41" s="1687">
        <f>(SUM(C34,C37,C38,C39))</f>
        <v>2199127</v>
      </c>
      <c r="D41" s="1687">
        <f t="shared" ref="D41:L41" si="2">SUM(D34,D37,D38:D39)</f>
        <v>0</v>
      </c>
      <c r="E41" s="1687">
        <f t="shared" si="2"/>
        <v>0</v>
      </c>
      <c r="F41" s="1687">
        <f t="shared" si="2"/>
        <v>0</v>
      </c>
      <c r="G41" s="1687">
        <f t="shared" si="2"/>
        <v>0</v>
      </c>
      <c r="H41" s="1687">
        <f t="shared" si="2"/>
        <v>0</v>
      </c>
      <c r="I41" s="1687">
        <f t="shared" si="2"/>
        <v>0</v>
      </c>
      <c r="J41" s="1687">
        <f t="shared" si="2"/>
        <v>0</v>
      </c>
      <c r="K41" s="1687">
        <f t="shared" si="2"/>
        <v>0</v>
      </c>
      <c r="L41" s="1687">
        <f t="shared" si="2"/>
        <v>0</v>
      </c>
      <c r="M41" s="1687">
        <f>SUM(M40)</f>
        <v>1841778</v>
      </c>
      <c r="N41" s="1687">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43" right="0.15" top="0.86" bottom="0.6" header="0.42" footer="0.35"/>
  <pageSetup scale="75" firstPageNumber="11" orientation="landscape" useFirstPageNumber="1" r:id="rId1"/>
  <headerFooter alignWithMargins="0">
    <oddHeader xml:space="preserve">&amp;C&amp;"Arial,Bold"&amp;9Kaskaskia Special Education District #801
STATEMENT OF ASSETS AND LIABILITIES ARISING FROM CASH TRANSACTIONS
STATEMENT OF POSITION AS OF JUNE 30, 2019
</oddHeader>
    <oddFooter>&amp;L&amp;9See accompanying notes to the financial statements.
&amp;C- &amp;P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9" activePane="bottomLeft" state="frozen"/>
      <selection pane="bottomLeft" activeCell="D85" sqref="D8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7" t="s">
        <v>1499</v>
      </c>
      <c r="B4" s="1928">
        <v>1000</v>
      </c>
      <c r="C4" s="1741">
        <f>'Revenues 9-14'!C109</f>
        <v>3647468</v>
      </c>
      <c r="D4" s="1741">
        <f>'Revenues 9-14'!D109</f>
        <v>0</v>
      </c>
      <c r="E4" s="1741">
        <f>'Revenues 9-14'!E109</f>
        <v>0</v>
      </c>
      <c r="F4" s="1741">
        <f>'Revenues 9-14'!F109</f>
        <v>0</v>
      </c>
      <c r="G4" s="1741">
        <f>'Revenues 9-14'!G109</f>
        <v>0</v>
      </c>
      <c r="H4" s="1741">
        <f>'Revenues 9-14'!H109</f>
        <v>0</v>
      </c>
      <c r="I4" s="1741">
        <f>'Revenues 9-14'!I109</f>
        <v>0</v>
      </c>
      <c r="J4" s="1741">
        <f>'Revenues 9-14'!J109</f>
        <v>0</v>
      </c>
      <c r="K4" s="1741">
        <f>'Revenues 9-14'!K109</f>
        <v>0</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1637116</v>
      </c>
      <c r="D6" s="1742">
        <f>'Revenues 9-14'!D170</f>
        <v>0</v>
      </c>
      <c r="E6" s="1742">
        <f>'Revenues 9-14'!E170</f>
        <v>0</v>
      </c>
      <c r="F6" s="1742">
        <f>'Revenues 9-14'!F170</f>
        <v>0</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3993945</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9278529</v>
      </c>
      <c r="D8" s="1687">
        <f t="shared" ref="D8:K8" si="0">SUM(D4:D7)</f>
        <v>0</v>
      </c>
      <c r="E8" s="1687">
        <f t="shared" si="0"/>
        <v>0</v>
      </c>
      <c r="F8" s="1687">
        <f t="shared" si="0"/>
        <v>0</v>
      </c>
      <c r="G8" s="1687">
        <f t="shared" si="0"/>
        <v>0</v>
      </c>
      <c r="H8" s="1687">
        <f t="shared" si="0"/>
        <v>0</v>
      </c>
      <c r="I8" s="1687">
        <f t="shared" si="0"/>
        <v>0</v>
      </c>
      <c r="J8" s="1687">
        <f t="shared" si="0"/>
        <v>0</v>
      </c>
      <c r="K8" s="1687">
        <f t="shared" si="0"/>
        <v>0</v>
      </c>
      <c r="L8" s="347"/>
    </row>
    <row r="9" spans="1:13" ht="15.75" thickTop="1" x14ac:dyDescent="0.2">
      <c r="A9" s="514" t="s">
        <v>1653</v>
      </c>
      <c r="B9" s="515">
        <v>3998</v>
      </c>
      <c r="C9" s="481">
        <v>389977</v>
      </c>
      <c r="D9" s="516"/>
      <c r="E9" s="481"/>
      <c r="F9" s="481"/>
      <c r="G9" s="517"/>
      <c r="H9" s="481"/>
      <c r="I9" s="509" t="s">
        <v>1169</v>
      </c>
      <c r="J9" s="478"/>
      <c r="K9" s="481"/>
      <c r="L9" s="347"/>
    </row>
    <row r="10" spans="1:13" s="519" customFormat="1" ht="13.5" thickBot="1" x14ac:dyDescent="0.25">
      <c r="A10" s="1735" t="s">
        <v>1173</v>
      </c>
      <c r="B10" s="1708"/>
      <c r="C10" s="1687">
        <f>SUM(C8:C9)</f>
        <v>9668506</v>
      </c>
      <c r="D10" s="1687">
        <f t="shared" ref="D10:K10" si="1">SUM(D8:D9)</f>
        <v>0</v>
      </c>
      <c r="E10" s="1687">
        <f t="shared" si="1"/>
        <v>0</v>
      </c>
      <c r="F10" s="1687">
        <f t="shared" si="1"/>
        <v>0</v>
      </c>
      <c r="G10" s="1687">
        <f t="shared" si="1"/>
        <v>0</v>
      </c>
      <c r="H10" s="1687">
        <f t="shared" si="1"/>
        <v>0</v>
      </c>
      <c r="I10" s="1687">
        <f t="shared" si="1"/>
        <v>0</v>
      </c>
      <c r="J10" s="1687">
        <f t="shared" si="1"/>
        <v>0</v>
      </c>
      <c r="K10" s="1687">
        <f t="shared" si="1"/>
        <v>0</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1">
        <f>'Expenditures 15-22'!K33</f>
        <v>2840376</v>
      </c>
      <c r="D12" s="520" t="s">
        <v>1169</v>
      </c>
      <c r="E12" s="468" t="s">
        <v>1169</v>
      </c>
      <c r="F12" s="468" t="s">
        <v>1169</v>
      </c>
      <c r="G12" s="1741">
        <f>'Expenditures 15-22'!K229</f>
        <v>0</v>
      </c>
      <c r="H12" s="521"/>
      <c r="I12" s="468" t="s">
        <v>1169</v>
      </c>
      <c r="J12" s="468" t="s">
        <v>1169</v>
      </c>
      <c r="K12" s="521" t="s">
        <v>1169</v>
      </c>
      <c r="L12" s="347"/>
    </row>
    <row r="13" spans="1:13" ht="15.75" customHeight="1" x14ac:dyDescent="0.2">
      <c r="A13" s="1576" t="s">
        <v>457</v>
      </c>
      <c r="B13" s="1578">
        <v>2000</v>
      </c>
      <c r="C13" s="1742">
        <f>'Expenditures 15-22'!K74</f>
        <v>5532446</v>
      </c>
      <c r="D13" s="1742">
        <f>'Expenditures 15-22'!K129</f>
        <v>0</v>
      </c>
      <c r="E13" s="469" t="s">
        <v>1169</v>
      </c>
      <c r="F13" s="1742">
        <f>'Expenditures 15-22'!K184</f>
        <v>0</v>
      </c>
      <c r="G13" s="1742">
        <f>'Expenditures 15-22'!K279</f>
        <v>0</v>
      </c>
      <c r="H13" s="1742">
        <f>'Expenditures 15-22'!K303</f>
        <v>0</v>
      </c>
      <c r="I13" s="468" t="s">
        <v>1169</v>
      </c>
      <c r="J13" s="1742">
        <f>'Expenditures 15-22'!K330</f>
        <v>0</v>
      </c>
      <c r="K13" s="1746">
        <f>'Expenditures 15-22'!K352</f>
        <v>0</v>
      </c>
      <c r="L13" s="347"/>
    </row>
    <row r="14" spans="1:13" ht="15.75" customHeight="1" x14ac:dyDescent="0.2">
      <c r="A14" s="1576" t="s">
        <v>449</v>
      </c>
      <c r="B14" s="1578">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1295925</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9668747</v>
      </c>
      <c r="D17" s="1687">
        <f t="shared" si="2"/>
        <v>0</v>
      </c>
      <c r="E17" s="1687">
        <f t="shared" si="2"/>
        <v>0</v>
      </c>
      <c r="F17" s="1687">
        <f t="shared" si="2"/>
        <v>0</v>
      </c>
      <c r="G17" s="1687">
        <f t="shared" si="2"/>
        <v>0</v>
      </c>
      <c r="H17" s="1687">
        <f t="shared" si="2"/>
        <v>0</v>
      </c>
      <c r="I17" s="468"/>
      <c r="J17" s="1687">
        <f>SUM(J12:J16)</f>
        <v>0</v>
      </c>
      <c r="K17" s="1687">
        <f>SUM(K12:K16)</f>
        <v>0</v>
      </c>
      <c r="L17" s="347"/>
    </row>
    <row r="18" spans="1:12" ht="15" customHeight="1" thickTop="1" x14ac:dyDescent="0.2">
      <c r="A18" s="1743" t="s">
        <v>1654</v>
      </c>
      <c r="B18" s="1744">
        <v>4180</v>
      </c>
      <c r="C18" s="1741">
        <f t="shared" ref="C18:H18" si="3">C9</f>
        <v>389977</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10058724</v>
      </c>
      <c r="D19" s="1687">
        <f t="shared" si="4"/>
        <v>0</v>
      </c>
      <c r="E19" s="1687">
        <f t="shared" si="4"/>
        <v>0</v>
      </c>
      <c r="F19" s="1687">
        <f t="shared" si="4"/>
        <v>0</v>
      </c>
      <c r="G19" s="1687">
        <f t="shared" si="4"/>
        <v>0</v>
      </c>
      <c r="H19" s="1687">
        <f t="shared" si="4"/>
        <v>0</v>
      </c>
      <c r="I19" s="468"/>
      <c r="J19" s="1687">
        <f>SUM(J17:J18)</f>
        <v>0</v>
      </c>
      <c r="K19" s="1687">
        <f>SUM(K17:K18)</f>
        <v>0</v>
      </c>
      <c r="L19" s="347"/>
    </row>
    <row r="20" spans="1:12" ht="16.5" thickTop="1" thickBot="1" x14ac:dyDescent="0.25">
      <c r="A20" s="2124" t="s">
        <v>1655</v>
      </c>
      <c r="B20" s="2125"/>
      <c r="C20" s="1745">
        <f>C8-C17</f>
        <v>-390218</v>
      </c>
      <c r="D20" s="1745">
        <f t="shared" ref="D20:K20" si="5">D8-D17</f>
        <v>0</v>
      </c>
      <c r="E20" s="1745">
        <f t="shared" si="5"/>
        <v>0</v>
      </c>
      <c r="F20" s="1745">
        <f t="shared" si="5"/>
        <v>0</v>
      </c>
      <c r="G20" s="1745">
        <f t="shared" si="5"/>
        <v>0</v>
      </c>
      <c r="H20" s="1745">
        <f t="shared" si="5"/>
        <v>0</v>
      </c>
      <c r="I20" s="1745">
        <f t="shared" si="5"/>
        <v>0</v>
      </c>
      <c r="J20" s="1745">
        <f t="shared" si="5"/>
        <v>0</v>
      </c>
      <c r="K20" s="1745">
        <f t="shared" si="5"/>
        <v>0</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2">
        <f>D30</f>
        <v>0</v>
      </c>
      <c r="L52" s="524"/>
    </row>
    <row r="53" spans="1:12" s="485" customFormat="1" ht="26.25" x14ac:dyDescent="0.2">
      <c r="A53" s="1490" t="s">
        <v>1793</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6" t="s">
        <v>1177</v>
      </c>
      <c r="B77" s="2117"/>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0" t="s">
        <v>597</v>
      </c>
      <c r="B78" s="2121"/>
      <c r="C78" s="1701">
        <f t="shared" ref="C78:K78" si="9">C20+C77</f>
        <v>-390218</v>
      </c>
      <c r="D78" s="1701">
        <f t="shared" si="9"/>
        <v>0</v>
      </c>
      <c r="E78" s="1701">
        <f t="shared" si="9"/>
        <v>0</v>
      </c>
      <c r="F78" s="1701">
        <f t="shared" si="9"/>
        <v>0</v>
      </c>
      <c r="G78" s="1701">
        <f t="shared" si="9"/>
        <v>0</v>
      </c>
      <c r="H78" s="1701">
        <f t="shared" si="9"/>
        <v>0</v>
      </c>
      <c r="I78" s="1701">
        <f t="shared" si="9"/>
        <v>0</v>
      </c>
      <c r="J78" s="1701">
        <f t="shared" si="9"/>
        <v>0</v>
      </c>
      <c r="K78" s="1701">
        <f t="shared" si="9"/>
        <v>0</v>
      </c>
      <c r="L78" s="533"/>
    </row>
    <row r="79" spans="1:12" ht="13.5" thickTop="1" x14ac:dyDescent="0.2">
      <c r="A79" s="1494" t="s">
        <v>1945</v>
      </c>
      <c r="B79" s="534"/>
      <c r="C79" s="478">
        <v>2589139</v>
      </c>
      <c r="D79" s="535"/>
      <c r="E79" s="535"/>
      <c r="F79" s="535"/>
      <c r="G79" s="535"/>
      <c r="H79" s="535"/>
      <c r="I79" s="535"/>
      <c r="J79" s="535"/>
      <c r="K79" s="535"/>
      <c r="L79" s="347"/>
    </row>
    <row r="80" spans="1:12" x14ac:dyDescent="0.2">
      <c r="A80" s="2126" t="s">
        <v>1792</v>
      </c>
      <c r="B80" s="2127"/>
      <c r="C80" s="467"/>
      <c r="D80" s="467"/>
      <c r="E80" s="467"/>
      <c r="F80" s="467"/>
      <c r="G80" s="467"/>
      <c r="H80" s="467"/>
      <c r="I80" s="467"/>
      <c r="J80" s="467"/>
      <c r="K80" s="467"/>
      <c r="L80" s="347"/>
    </row>
    <row r="81" spans="1:12" ht="13.5" thickBot="1" x14ac:dyDescent="0.25">
      <c r="A81" s="2118" t="s">
        <v>1946</v>
      </c>
      <c r="B81" s="2119"/>
      <c r="C81" s="1687">
        <f>(SUM(C78:C80))</f>
        <v>2198921</v>
      </c>
      <c r="D81" s="1687">
        <f>SUM(D78:D80)</f>
        <v>0</v>
      </c>
      <c r="E81" s="1687">
        <f t="shared" ref="E81:K81" si="10">SUM(E78:E80)</f>
        <v>0</v>
      </c>
      <c r="F81" s="1687">
        <f t="shared" si="10"/>
        <v>0</v>
      </c>
      <c r="G81" s="1687">
        <f t="shared" si="10"/>
        <v>0</v>
      </c>
      <c r="H81" s="1687">
        <f t="shared" si="10"/>
        <v>0</v>
      </c>
      <c r="I81" s="1687">
        <f t="shared" si="10"/>
        <v>0</v>
      </c>
      <c r="J81" s="1687">
        <f t="shared" si="10"/>
        <v>0</v>
      </c>
      <c r="K81" s="1687">
        <f t="shared" si="10"/>
        <v>0</v>
      </c>
      <c r="L81" s="347"/>
    </row>
    <row r="82" spans="1:12" ht="0.75" customHeight="1" thickTop="1" thickBot="1" x14ac:dyDescent="0.25">
      <c r="A82" s="536" t="s">
        <v>343</v>
      </c>
      <c r="B82" s="537"/>
      <c r="C82" s="538">
        <f>(C81-C79)</f>
        <v>-390218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-0.17745885368323827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33" right="0" top="0.8" bottom="0.53" header="0.26" footer="0.27"/>
  <pageSetup scale="73" firstPageNumber="13" orientation="landscape" useFirstPageNumber="1" r:id="rId1"/>
  <headerFooter alignWithMargins="0">
    <oddHeader xml:space="preserve">&amp;C&amp;"Arial,Bold"&amp;9Kaskaskia Special Education District #801
STATEMENT OF REVENUES RECEIVED/REVENUES, EXPENDITURES/DISBURSED/EXPENDITURES, OTHER 
SOURCES (USES) AND CHANGES IN FUND BALANCE
ALL FUNDS - FOR THE YEAR ENDING JUNE 30, 2019 </oddHeader>
    <oddFooter>&amp;L&amp;9See accompanying notes to the financial statements.
&amp;C- &amp;P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2" activePane="bottomLeft" state="frozen"/>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1799</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0</v>
      </c>
      <c r="D12" s="1706">
        <f t="shared" si="0"/>
        <v>0</v>
      </c>
      <c r="E12" s="1706">
        <f t="shared" si="0"/>
        <v>0</v>
      </c>
      <c r="F12" s="1706">
        <f t="shared" si="0"/>
        <v>0</v>
      </c>
      <c r="G12" s="1706">
        <f t="shared" si="0"/>
        <v>0</v>
      </c>
      <c r="H12" s="1706">
        <f t="shared" si="0"/>
        <v>0</v>
      </c>
      <c r="I12" s="1706">
        <f t="shared" si="0"/>
        <v>0</v>
      </c>
      <c r="J12" s="1706">
        <f t="shared" si="0"/>
        <v>0</v>
      </c>
      <c r="K12" s="1687">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0</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v>13778</v>
      </c>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3031625</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3045403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10561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10561</v>
      </c>
      <c r="D67" s="1687">
        <f t="shared" ref="D67:K67" si="2">SUM(D65:D66)</f>
        <v>0</v>
      </c>
      <c r="E67" s="1687">
        <f t="shared" si="2"/>
        <v>0</v>
      </c>
      <c r="F67" s="1687">
        <f t="shared" si="2"/>
        <v>0</v>
      </c>
      <c r="G67" s="1687">
        <f t="shared" si="2"/>
        <v>0</v>
      </c>
      <c r="H67" s="1687">
        <f t="shared" si="2"/>
        <v>0</v>
      </c>
      <c r="I67" s="1687">
        <f t="shared" si="2"/>
        <v>0</v>
      </c>
      <c r="J67" s="1687">
        <f t="shared" si="2"/>
        <v>0</v>
      </c>
      <c r="K67" s="1687">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737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737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0</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389929</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110568</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90270</v>
      </c>
      <c r="D107" s="466"/>
      <c r="E107" s="466"/>
      <c r="F107" s="466"/>
      <c r="G107" s="466"/>
      <c r="H107" s="466"/>
      <c r="I107" s="466"/>
      <c r="J107" s="467"/>
      <c r="K107" s="466"/>
    </row>
    <row r="108" spans="1:12" ht="12.75" customHeight="1" thickBot="1" x14ac:dyDescent="0.25">
      <c r="A108" s="1707" t="s">
        <v>487</v>
      </c>
      <c r="B108" s="1711"/>
      <c r="C108" s="1706">
        <f>SUM(C95:C107)</f>
        <v>590767</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3647468</v>
      </c>
      <c r="D109" s="1714">
        <f t="shared" si="4"/>
        <v>0</v>
      </c>
      <c r="E109" s="1714">
        <f t="shared" si="4"/>
        <v>0</v>
      </c>
      <c r="F109" s="1714">
        <f t="shared" si="4"/>
        <v>0</v>
      </c>
      <c r="G109" s="1714">
        <f t="shared" si="4"/>
        <v>0</v>
      </c>
      <c r="H109" s="1714">
        <f t="shared" si="4"/>
        <v>0</v>
      </c>
      <c r="I109" s="1714">
        <f t="shared" si="4"/>
        <v>0</v>
      </c>
      <c r="J109" s="1714">
        <f t="shared" si="4"/>
        <v>0</v>
      </c>
      <c r="K109" s="1701">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542721</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9" t="s">
        <v>1932</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542721</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1086984</v>
      </c>
      <c r="D128" s="561"/>
      <c r="E128" s="468"/>
      <c r="F128" s="466"/>
      <c r="G128" s="468"/>
      <c r="H128" s="468"/>
      <c r="I128" s="468"/>
      <c r="J128" s="468"/>
      <c r="K128" s="468"/>
    </row>
    <row r="129" spans="1:11" ht="12.75" customHeight="1" x14ac:dyDescent="0.2">
      <c r="A129" s="463" t="s">
        <v>1447</v>
      </c>
      <c r="B129" s="562">
        <v>3130</v>
      </c>
      <c r="C129" s="466">
        <v>6150</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1093134</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1261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0</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1">
        <f t="shared" ref="C169:K169" si="6">SUM(C132,C141,C145,C146:C150,C155,C156:C167,C168)</f>
        <v>1094395</v>
      </c>
      <c r="D169" s="1721">
        <f t="shared" si="6"/>
        <v>0</v>
      </c>
      <c r="E169" s="1721">
        <f t="shared" si="6"/>
        <v>0</v>
      </c>
      <c r="F169" s="1721">
        <f t="shared" si="6"/>
        <v>0</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1637116</v>
      </c>
      <c r="D170" s="1714">
        <f t="shared" si="7"/>
        <v>0</v>
      </c>
      <c r="E170" s="1714">
        <f t="shared" si="7"/>
        <v>0</v>
      </c>
      <c r="F170" s="1714">
        <f t="shared" si="7"/>
        <v>0</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6" t="s">
        <v>1800</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37734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23018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60752</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0</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190782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3262069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3452851</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1933</v>
      </c>
      <c r="B261" s="470">
        <v>4981</v>
      </c>
      <c r="C261" s="575"/>
      <c r="D261" s="576"/>
      <c r="E261" s="468"/>
      <c r="F261" s="576"/>
      <c r="G261" s="576"/>
      <c r="H261" s="468"/>
      <c r="I261" s="468"/>
      <c r="J261" s="468"/>
      <c r="K261" s="468"/>
    </row>
    <row r="262" spans="1:11" ht="12.75" customHeight="1" thickTop="1" thickBot="1" x14ac:dyDescent="0.25">
      <c r="A262" s="1930"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87172</v>
      </c>
      <c r="D263" s="576"/>
      <c r="E263" s="468"/>
      <c r="F263" s="576"/>
      <c r="G263" s="576"/>
      <c r="H263" s="468"/>
      <c r="I263" s="468"/>
      <c r="J263" s="468"/>
      <c r="K263" s="468"/>
    </row>
    <row r="264" spans="1:11" ht="12.75" customHeight="1" thickTop="1" thickBot="1" x14ac:dyDescent="0.25">
      <c r="A264" s="463" t="s">
        <v>377</v>
      </c>
      <c r="B264" s="470">
        <v>4992</v>
      </c>
      <c r="C264" s="575">
        <v>393170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3993945</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3993945</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9278529</v>
      </c>
      <c r="D268" s="1714">
        <f t="shared" si="12"/>
        <v>0</v>
      </c>
      <c r="E268" s="1714">
        <f t="shared" si="12"/>
        <v>0</v>
      </c>
      <c r="F268" s="1714">
        <f t="shared" si="12"/>
        <v>0</v>
      </c>
      <c r="G268" s="1714">
        <f t="shared" si="12"/>
        <v>0</v>
      </c>
      <c r="H268" s="1714">
        <f t="shared" si="12"/>
        <v>0</v>
      </c>
      <c r="I268" s="1714">
        <f t="shared" si="12"/>
        <v>0</v>
      </c>
      <c r="J268" s="1714">
        <f t="shared" si="12"/>
        <v>0</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3" right="0.15" top="0.66" bottom="0.46" header="0.26" footer="0.2"/>
  <pageSetup scale="74" firstPageNumber="15" orientation="landscape" useFirstPageNumber="1" r:id="rId1"/>
  <headerFooter alignWithMargins="0">
    <oddHeader>&amp;C&amp;"Arial,Bold"&amp;9Kaskaskia Special Education District #801
STATEMENT OF REVENUES RECEIVED/REVENUES
FOR THE YEAR ENDING JUNE 30, 2019</oddHeader>
    <oddFooter>&amp;L&amp;9See accompanying notes to the financial statements.
&amp;C- &amp;P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52" activePane="bottomLeft" state="frozen"/>
      <selection pane="bottomLeft" activeCell="L367" sqref="L36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0">
        <f>SUM(C5:J5)</f>
        <v>0</v>
      </c>
      <c r="L5" s="466">
        <v>0</v>
      </c>
    </row>
    <row r="6" spans="1:14" x14ac:dyDescent="0.2">
      <c r="A6" s="1504" t="s">
        <v>1433</v>
      </c>
      <c r="B6" s="614" t="s">
        <v>1431</v>
      </c>
      <c r="C6" s="477"/>
      <c r="D6" s="477"/>
      <c r="E6" s="466"/>
      <c r="F6" s="477"/>
      <c r="G6" s="477"/>
      <c r="H6" s="477"/>
      <c r="I6" s="477"/>
      <c r="J6" s="477"/>
      <c r="K6" s="1670">
        <f>SUM(C6,E6)</f>
        <v>0</v>
      </c>
      <c r="L6" s="466">
        <v>0</v>
      </c>
    </row>
    <row r="7" spans="1:14" x14ac:dyDescent="0.2">
      <c r="A7" s="1504" t="s">
        <v>163</v>
      </c>
      <c r="B7" s="614" t="s">
        <v>967</v>
      </c>
      <c r="C7" s="467"/>
      <c r="D7" s="467"/>
      <c r="E7" s="467"/>
      <c r="F7" s="467"/>
      <c r="G7" s="467"/>
      <c r="H7" s="467"/>
      <c r="I7" s="467"/>
      <c r="J7" s="467"/>
      <c r="K7" s="1670">
        <f t="shared" ref="K7:K32" si="0">SUM(C7:J7)</f>
        <v>0</v>
      </c>
      <c r="L7" s="466">
        <v>0</v>
      </c>
    </row>
    <row r="8" spans="1:14" x14ac:dyDescent="0.2">
      <c r="A8" s="1504" t="s">
        <v>164</v>
      </c>
      <c r="B8" s="614">
        <v>1200</v>
      </c>
      <c r="C8" s="466">
        <v>1817309</v>
      </c>
      <c r="D8" s="466">
        <v>657634</v>
      </c>
      <c r="E8" s="466">
        <v>96900</v>
      </c>
      <c r="F8" s="466">
        <v>104954</v>
      </c>
      <c r="G8" s="466">
        <v>28082</v>
      </c>
      <c r="H8" s="466">
        <v>135497</v>
      </c>
      <c r="I8" s="467"/>
      <c r="J8" s="467"/>
      <c r="K8" s="1670">
        <f t="shared" si="0"/>
        <v>2840376</v>
      </c>
      <c r="L8" s="466">
        <v>3260004</v>
      </c>
    </row>
    <row r="9" spans="1:14" x14ac:dyDescent="0.2">
      <c r="A9" s="1504" t="s">
        <v>721</v>
      </c>
      <c r="B9" s="614" t="s">
        <v>968</v>
      </c>
      <c r="C9" s="467"/>
      <c r="D9" s="467"/>
      <c r="E9" s="467"/>
      <c r="F9" s="467"/>
      <c r="G9" s="467"/>
      <c r="H9" s="467"/>
      <c r="I9" s="467"/>
      <c r="J9" s="467"/>
      <c r="K9" s="1670">
        <f t="shared" si="0"/>
        <v>0</v>
      </c>
      <c r="L9" s="466">
        <v>0</v>
      </c>
    </row>
    <row r="10" spans="1:14" x14ac:dyDescent="0.2">
      <c r="A10" s="1504" t="s">
        <v>722</v>
      </c>
      <c r="B10" s="614">
        <v>1250</v>
      </c>
      <c r="C10" s="466"/>
      <c r="D10" s="466"/>
      <c r="E10" s="466"/>
      <c r="F10" s="466"/>
      <c r="G10" s="466"/>
      <c r="H10" s="466"/>
      <c r="I10" s="467"/>
      <c r="J10" s="467"/>
      <c r="K10" s="1670">
        <f t="shared" si="0"/>
        <v>0</v>
      </c>
      <c r="L10" s="466">
        <v>0</v>
      </c>
    </row>
    <row r="11" spans="1:14" x14ac:dyDescent="0.2">
      <c r="A11" s="1504" t="s">
        <v>1130</v>
      </c>
      <c r="B11" s="614" t="s">
        <v>161</v>
      </c>
      <c r="C11" s="467"/>
      <c r="D11" s="467"/>
      <c r="E11" s="467"/>
      <c r="F11" s="467"/>
      <c r="G11" s="467"/>
      <c r="H11" s="467"/>
      <c r="I11" s="467"/>
      <c r="J11" s="467"/>
      <c r="K11" s="1670">
        <f t="shared" si="0"/>
        <v>0</v>
      </c>
      <c r="L11" s="466">
        <v>0</v>
      </c>
    </row>
    <row r="12" spans="1:14" x14ac:dyDescent="0.2">
      <c r="A12" s="1504" t="s">
        <v>962</v>
      </c>
      <c r="B12" s="614">
        <v>1300</v>
      </c>
      <c r="C12" s="466"/>
      <c r="D12" s="466"/>
      <c r="E12" s="466"/>
      <c r="F12" s="466"/>
      <c r="G12" s="466"/>
      <c r="H12" s="466"/>
      <c r="I12" s="467"/>
      <c r="J12" s="467"/>
      <c r="K12" s="1670">
        <f t="shared" si="0"/>
        <v>0</v>
      </c>
      <c r="L12" s="466">
        <v>0</v>
      </c>
    </row>
    <row r="13" spans="1:14" x14ac:dyDescent="0.2">
      <c r="A13" s="1504" t="s">
        <v>723</v>
      </c>
      <c r="B13" s="614">
        <v>1400</v>
      </c>
      <c r="C13" s="466"/>
      <c r="D13" s="466"/>
      <c r="E13" s="466"/>
      <c r="F13" s="466"/>
      <c r="G13" s="466"/>
      <c r="H13" s="466"/>
      <c r="I13" s="467"/>
      <c r="J13" s="467"/>
      <c r="K13" s="1670">
        <f t="shared" si="0"/>
        <v>0</v>
      </c>
      <c r="L13" s="466">
        <v>0</v>
      </c>
    </row>
    <row r="14" spans="1:14" x14ac:dyDescent="0.2">
      <c r="A14" s="1504" t="s">
        <v>963</v>
      </c>
      <c r="B14" s="614">
        <v>1500</v>
      </c>
      <c r="C14" s="466"/>
      <c r="D14" s="466"/>
      <c r="E14" s="466"/>
      <c r="F14" s="466"/>
      <c r="G14" s="466"/>
      <c r="H14" s="466"/>
      <c r="I14" s="467"/>
      <c r="J14" s="467"/>
      <c r="K14" s="1670">
        <f t="shared" si="0"/>
        <v>0</v>
      </c>
      <c r="L14" s="466">
        <v>0</v>
      </c>
    </row>
    <row r="15" spans="1:14" x14ac:dyDescent="0.2">
      <c r="A15" s="1504" t="s">
        <v>964</v>
      </c>
      <c r="B15" s="614">
        <v>1600</v>
      </c>
      <c r="C15" s="466"/>
      <c r="D15" s="466"/>
      <c r="E15" s="466"/>
      <c r="F15" s="466"/>
      <c r="G15" s="466"/>
      <c r="H15" s="466"/>
      <c r="I15" s="467"/>
      <c r="J15" s="467"/>
      <c r="K15" s="1670">
        <f t="shared" si="0"/>
        <v>0</v>
      </c>
      <c r="L15" s="466">
        <v>0</v>
      </c>
    </row>
    <row r="16" spans="1:14" x14ac:dyDescent="0.2">
      <c r="A16" s="1504" t="s">
        <v>987</v>
      </c>
      <c r="B16" s="614" t="s">
        <v>424</v>
      </c>
      <c r="C16" s="466"/>
      <c r="D16" s="466"/>
      <c r="E16" s="466"/>
      <c r="F16" s="466"/>
      <c r="G16" s="466"/>
      <c r="H16" s="466"/>
      <c r="I16" s="467"/>
      <c r="J16" s="467"/>
      <c r="K16" s="1670">
        <f t="shared" si="0"/>
        <v>0</v>
      </c>
      <c r="L16" s="466">
        <v>0</v>
      </c>
    </row>
    <row r="17" spans="1:12" x14ac:dyDescent="0.2">
      <c r="A17" s="1504" t="s">
        <v>724</v>
      </c>
      <c r="B17" s="614" t="s">
        <v>162</v>
      </c>
      <c r="C17" s="467"/>
      <c r="D17" s="467"/>
      <c r="E17" s="467"/>
      <c r="F17" s="467"/>
      <c r="G17" s="467"/>
      <c r="H17" s="467"/>
      <c r="I17" s="467"/>
      <c r="J17" s="467"/>
      <c r="K17" s="1670">
        <f t="shared" si="0"/>
        <v>0</v>
      </c>
      <c r="L17" s="466">
        <v>0</v>
      </c>
    </row>
    <row r="18" spans="1:12" x14ac:dyDescent="0.2">
      <c r="A18" s="1504" t="s">
        <v>1087</v>
      </c>
      <c r="B18" s="614">
        <v>1800</v>
      </c>
      <c r="C18" s="466"/>
      <c r="D18" s="466"/>
      <c r="E18" s="466"/>
      <c r="F18" s="466"/>
      <c r="G18" s="466"/>
      <c r="H18" s="466"/>
      <c r="I18" s="467"/>
      <c r="J18" s="467"/>
      <c r="K18" s="1670">
        <f t="shared" si="0"/>
        <v>0</v>
      </c>
      <c r="L18" s="466">
        <v>0</v>
      </c>
    </row>
    <row r="19" spans="1:12" x14ac:dyDescent="0.2">
      <c r="A19" s="1504" t="s">
        <v>134</v>
      </c>
      <c r="B19" s="614">
        <v>1900</v>
      </c>
      <c r="C19" s="466"/>
      <c r="D19" s="466"/>
      <c r="E19" s="466"/>
      <c r="F19" s="466"/>
      <c r="G19" s="466"/>
      <c r="H19" s="466"/>
      <c r="I19" s="467"/>
      <c r="J19" s="467"/>
      <c r="K19" s="1670">
        <f t="shared" si="0"/>
        <v>0</v>
      </c>
      <c r="L19" s="466">
        <v>0</v>
      </c>
    </row>
    <row r="20" spans="1:12" x14ac:dyDescent="0.2">
      <c r="A20" s="1505" t="s">
        <v>738</v>
      </c>
      <c r="B20" s="602" t="s">
        <v>725</v>
      </c>
      <c r="C20" s="477"/>
      <c r="D20" s="477"/>
      <c r="E20" s="477"/>
      <c r="F20" s="477"/>
      <c r="G20" s="477"/>
      <c r="H20" s="474"/>
      <c r="I20" s="616"/>
      <c r="J20" s="475"/>
      <c r="K20" s="1670">
        <f t="shared" si="0"/>
        <v>0</v>
      </c>
      <c r="L20" s="471">
        <v>0</v>
      </c>
    </row>
    <row r="21" spans="1:12" x14ac:dyDescent="0.2">
      <c r="A21" s="1505" t="s">
        <v>739</v>
      </c>
      <c r="B21" s="602" t="s">
        <v>726</v>
      </c>
      <c r="C21" s="477"/>
      <c r="D21" s="477"/>
      <c r="E21" s="477"/>
      <c r="F21" s="477"/>
      <c r="G21" s="477"/>
      <c r="H21" s="474"/>
      <c r="I21" s="616"/>
      <c r="J21" s="477"/>
      <c r="K21" s="1670">
        <f t="shared" si="0"/>
        <v>0</v>
      </c>
      <c r="L21" s="471">
        <v>0</v>
      </c>
    </row>
    <row r="22" spans="1:12" x14ac:dyDescent="0.2">
      <c r="A22" s="1505" t="s">
        <v>740</v>
      </c>
      <c r="B22" s="602" t="s">
        <v>727</v>
      </c>
      <c r="C22" s="477"/>
      <c r="D22" s="477"/>
      <c r="E22" s="477"/>
      <c r="F22" s="477"/>
      <c r="G22" s="477"/>
      <c r="H22" s="474"/>
      <c r="I22" s="616"/>
      <c r="J22" s="477"/>
      <c r="K22" s="1670">
        <f t="shared" si="0"/>
        <v>0</v>
      </c>
      <c r="L22" s="471">
        <v>0</v>
      </c>
    </row>
    <row r="23" spans="1:12" x14ac:dyDescent="0.2">
      <c r="A23" s="1505" t="s">
        <v>741</v>
      </c>
      <c r="B23" s="602" t="s">
        <v>728</v>
      </c>
      <c r="C23" s="477"/>
      <c r="D23" s="477"/>
      <c r="E23" s="477"/>
      <c r="F23" s="477"/>
      <c r="G23" s="477"/>
      <c r="H23" s="474"/>
      <c r="I23" s="616"/>
      <c r="J23" s="477"/>
      <c r="K23" s="1670">
        <f t="shared" si="0"/>
        <v>0</v>
      </c>
      <c r="L23" s="471">
        <v>0</v>
      </c>
    </row>
    <row r="24" spans="1:12" ht="12.75" customHeight="1" x14ac:dyDescent="0.2">
      <c r="A24" s="1505" t="s">
        <v>742</v>
      </c>
      <c r="B24" s="602" t="s">
        <v>729</v>
      </c>
      <c r="C24" s="477"/>
      <c r="D24" s="477"/>
      <c r="E24" s="477"/>
      <c r="F24" s="477"/>
      <c r="G24" s="477"/>
      <c r="H24" s="474"/>
      <c r="I24" s="616"/>
      <c r="J24" s="477"/>
      <c r="K24" s="1670">
        <f t="shared" si="0"/>
        <v>0</v>
      </c>
      <c r="L24" s="471">
        <v>0</v>
      </c>
    </row>
    <row r="25" spans="1:12" ht="12.75" customHeight="1" x14ac:dyDescent="0.2">
      <c r="A25" s="1505" t="s">
        <v>802</v>
      </c>
      <c r="B25" s="602" t="s">
        <v>730</v>
      </c>
      <c r="C25" s="477"/>
      <c r="D25" s="477"/>
      <c r="E25" s="477"/>
      <c r="F25" s="477"/>
      <c r="G25" s="477"/>
      <c r="H25" s="474"/>
      <c r="I25" s="616"/>
      <c r="J25" s="477"/>
      <c r="K25" s="1670">
        <f t="shared" si="0"/>
        <v>0</v>
      </c>
      <c r="L25" s="471">
        <v>0</v>
      </c>
    </row>
    <row r="26" spans="1:12" x14ac:dyDescent="0.2">
      <c r="A26" s="1505" t="s">
        <v>622</v>
      </c>
      <c r="B26" s="602" t="s">
        <v>731</v>
      </c>
      <c r="C26" s="477"/>
      <c r="D26" s="477"/>
      <c r="E26" s="477"/>
      <c r="F26" s="477"/>
      <c r="G26" s="477"/>
      <c r="H26" s="474"/>
      <c r="I26" s="616"/>
      <c r="J26" s="477"/>
      <c r="K26" s="1670">
        <f t="shared" si="0"/>
        <v>0</v>
      </c>
      <c r="L26" s="471">
        <v>0</v>
      </c>
    </row>
    <row r="27" spans="1:12" x14ac:dyDescent="0.2">
      <c r="A27" s="1505" t="s">
        <v>623</v>
      </c>
      <c r="B27" s="602" t="s">
        <v>732</v>
      </c>
      <c r="C27" s="477"/>
      <c r="D27" s="477"/>
      <c r="E27" s="477"/>
      <c r="F27" s="477"/>
      <c r="G27" s="477"/>
      <c r="H27" s="474"/>
      <c r="I27" s="616"/>
      <c r="J27" s="477"/>
      <c r="K27" s="1670">
        <f t="shared" si="0"/>
        <v>0</v>
      </c>
      <c r="L27" s="471">
        <v>0</v>
      </c>
    </row>
    <row r="28" spans="1:12" x14ac:dyDescent="0.2">
      <c r="A28" s="1505" t="s">
        <v>150</v>
      </c>
      <c r="B28" s="602" t="s">
        <v>733</v>
      </c>
      <c r="C28" s="477"/>
      <c r="D28" s="477"/>
      <c r="E28" s="477"/>
      <c r="F28" s="477"/>
      <c r="G28" s="477"/>
      <c r="H28" s="474"/>
      <c r="I28" s="616"/>
      <c r="J28" s="477"/>
      <c r="K28" s="1670">
        <f t="shared" si="0"/>
        <v>0</v>
      </c>
      <c r="L28" s="471">
        <v>0</v>
      </c>
    </row>
    <row r="29" spans="1:12" x14ac:dyDescent="0.2">
      <c r="A29" s="1505" t="s">
        <v>151</v>
      </c>
      <c r="B29" s="602" t="s">
        <v>734</v>
      </c>
      <c r="C29" s="477"/>
      <c r="D29" s="477"/>
      <c r="E29" s="477"/>
      <c r="F29" s="477"/>
      <c r="G29" s="477"/>
      <c r="H29" s="474"/>
      <c r="I29" s="616"/>
      <c r="J29" s="477"/>
      <c r="K29" s="1670">
        <f t="shared" si="0"/>
        <v>0</v>
      </c>
      <c r="L29" s="471">
        <v>0</v>
      </c>
    </row>
    <row r="30" spans="1:12" x14ac:dyDescent="0.2">
      <c r="A30" s="1505" t="s">
        <v>152</v>
      </c>
      <c r="B30" s="602" t="s">
        <v>735</v>
      </c>
      <c r="C30" s="477"/>
      <c r="D30" s="477"/>
      <c r="E30" s="477"/>
      <c r="F30" s="477"/>
      <c r="G30" s="477"/>
      <c r="H30" s="474"/>
      <c r="I30" s="616"/>
      <c r="J30" s="477"/>
      <c r="K30" s="1670">
        <f t="shared" si="0"/>
        <v>0</v>
      </c>
      <c r="L30" s="471">
        <v>0</v>
      </c>
    </row>
    <row r="31" spans="1:12" x14ac:dyDescent="0.2">
      <c r="A31" s="1505" t="s">
        <v>153</v>
      </c>
      <c r="B31" s="602" t="s">
        <v>736</v>
      </c>
      <c r="C31" s="477"/>
      <c r="D31" s="477"/>
      <c r="E31" s="477"/>
      <c r="F31" s="477"/>
      <c r="G31" s="477"/>
      <c r="H31" s="474"/>
      <c r="I31" s="616"/>
      <c r="J31" s="477"/>
      <c r="K31" s="1670">
        <f t="shared" si="0"/>
        <v>0</v>
      </c>
      <c r="L31" s="471">
        <v>0</v>
      </c>
    </row>
    <row r="32" spans="1:12" x14ac:dyDescent="0.2">
      <c r="A32" s="1506" t="s">
        <v>1129</v>
      </c>
      <c r="B32" s="614" t="s">
        <v>737</v>
      </c>
      <c r="C32" s="477"/>
      <c r="D32" s="477"/>
      <c r="E32" s="477"/>
      <c r="F32" s="477"/>
      <c r="G32" s="477"/>
      <c r="H32" s="474"/>
      <c r="I32" s="616"/>
      <c r="J32" s="480"/>
      <c r="K32" s="1670">
        <f t="shared" si="0"/>
        <v>0</v>
      </c>
      <c r="L32" s="471">
        <v>0</v>
      </c>
    </row>
    <row r="33" spans="1:14" ht="12.75" customHeight="1" thickBot="1" x14ac:dyDescent="0.25">
      <c r="A33" s="1667" t="s">
        <v>1668</v>
      </c>
      <c r="B33" s="1668" t="s">
        <v>570</v>
      </c>
      <c r="C33" s="1669">
        <f>SUM(C5:C32)</f>
        <v>1817309</v>
      </c>
      <c r="D33" s="1669">
        <f t="shared" ref="D33:L33" si="1">SUM(D5:D32)</f>
        <v>657634</v>
      </c>
      <c r="E33" s="1669">
        <f t="shared" si="1"/>
        <v>96900</v>
      </c>
      <c r="F33" s="1669">
        <f t="shared" si="1"/>
        <v>104954</v>
      </c>
      <c r="G33" s="1669">
        <f t="shared" si="1"/>
        <v>28082</v>
      </c>
      <c r="H33" s="1669">
        <f t="shared" si="1"/>
        <v>135497</v>
      </c>
      <c r="I33" s="1669">
        <f t="shared" si="1"/>
        <v>0</v>
      </c>
      <c r="J33" s="1669">
        <f t="shared" si="1"/>
        <v>0</v>
      </c>
      <c r="K33" s="1669">
        <f t="shared" si="1"/>
        <v>2840376</v>
      </c>
      <c r="L33" s="1669">
        <f t="shared" si="1"/>
        <v>3260004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267965</v>
      </c>
      <c r="D36" s="481">
        <v>82737</v>
      </c>
      <c r="E36" s="481">
        <v>11548</v>
      </c>
      <c r="F36" s="481">
        <v>1648</v>
      </c>
      <c r="G36" s="481"/>
      <c r="H36" s="481"/>
      <c r="I36" s="467"/>
      <c r="J36" s="467"/>
      <c r="K36" s="1670">
        <f t="shared" ref="K36:K41" si="2">SUM(C36:J36)</f>
        <v>363898</v>
      </c>
      <c r="L36" s="466">
        <v>382069</v>
      </c>
    </row>
    <row r="37" spans="1:14" x14ac:dyDescent="0.2">
      <c r="A37" s="1504" t="s">
        <v>1090</v>
      </c>
      <c r="B37" s="614">
        <v>2120</v>
      </c>
      <c r="C37" s="466"/>
      <c r="D37" s="466"/>
      <c r="E37" s="466"/>
      <c r="F37" s="466"/>
      <c r="G37" s="466"/>
      <c r="H37" s="466"/>
      <c r="I37" s="467"/>
      <c r="J37" s="467"/>
      <c r="K37" s="1670">
        <f t="shared" si="2"/>
        <v>0</v>
      </c>
      <c r="L37" s="466">
        <v>0</v>
      </c>
    </row>
    <row r="38" spans="1:14" x14ac:dyDescent="0.2">
      <c r="A38" s="1504" t="s">
        <v>198</v>
      </c>
      <c r="B38" s="614">
        <v>2130</v>
      </c>
      <c r="C38" s="466">
        <v>475847</v>
      </c>
      <c r="D38" s="466">
        <v>174783</v>
      </c>
      <c r="E38" s="466">
        <v>51405</v>
      </c>
      <c r="F38" s="466">
        <v>8502</v>
      </c>
      <c r="G38" s="466"/>
      <c r="H38" s="466">
        <v>33446</v>
      </c>
      <c r="I38" s="467"/>
      <c r="J38" s="467"/>
      <c r="K38" s="1670">
        <f t="shared" si="2"/>
        <v>743983</v>
      </c>
      <c r="L38" s="466">
        <v>783923</v>
      </c>
    </row>
    <row r="39" spans="1:14" x14ac:dyDescent="0.2">
      <c r="A39" s="1504" t="s">
        <v>199</v>
      </c>
      <c r="B39" s="614">
        <v>2140</v>
      </c>
      <c r="C39" s="466">
        <v>765376</v>
      </c>
      <c r="D39" s="466">
        <v>259366</v>
      </c>
      <c r="E39" s="466">
        <v>36898</v>
      </c>
      <c r="F39" s="466">
        <v>21252</v>
      </c>
      <c r="G39" s="466"/>
      <c r="H39" s="466"/>
      <c r="I39" s="467"/>
      <c r="J39" s="467"/>
      <c r="K39" s="1670">
        <f t="shared" si="2"/>
        <v>1082892</v>
      </c>
      <c r="L39" s="466">
        <v>1118812</v>
      </c>
    </row>
    <row r="40" spans="1:14" x14ac:dyDescent="0.2">
      <c r="A40" s="1504" t="s">
        <v>200</v>
      </c>
      <c r="B40" s="614">
        <v>2150</v>
      </c>
      <c r="C40" s="466">
        <v>727633</v>
      </c>
      <c r="D40" s="466">
        <v>137411</v>
      </c>
      <c r="E40" s="466">
        <v>76764</v>
      </c>
      <c r="F40" s="466">
        <v>20426</v>
      </c>
      <c r="G40" s="466"/>
      <c r="H40" s="466">
        <v>1650</v>
      </c>
      <c r="I40" s="467"/>
      <c r="J40" s="467"/>
      <c r="K40" s="1670">
        <f t="shared" si="2"/>
        <v>963884</v>
      </c>
      <c r="L40" s="466">
        <v>1020956</v>
      </c>
    </row>
    <row r="41" spans="1:14" x14ac:dyDescent="0.2">
      <c r="A41" s="1504" t="s">
        <v>1669</v>
      </c>
      <c r="B41" s="614">
        <v>2190</v>
      </c>
      <c r="C41" s="466"/>
      <c r="D41" s="466"/>
      <c r="E41" s="466"/>
      <c r="F41" s="466"/>
      <c r="G41" s="466"/>
      <c r="H41" s="466"/>
      <c r="I41" s="467"/>
      <c r="J41" s="467"/>
      <c r="K41" s="1670">
        <f t="shared" si="2"/>
        <v>0</v>
      </c>
      <c r="L41" s="466">
        <v>0</v>
      </c>
    </row>
    <row r="42" spans="1:14" ht="12.75" customHeight="1" thickBot="1" x14ac:dyDescent="0.25">
      <c r="A42" s="1667" t="s">
        <v>560</v>
      </c>
      <c r="B42" s="1668" t="s">
        <v>716</v>
      </c>
      <c r="C42" s="1669">
        <f>SUM(C36:C41)</f>
        <v>2236821</v>
      </c>
      <c r="D42" s="1669">
        <f t="shared" ref="D42:L42" si="3">SUM(D36:D41)</f>
        <v>654297</v>
      </c>
      <c r="E42" s="1669">
        <f t="shared" si="3"/>
        <v>176615</v>
      </c>
      <c r="F42" s="1669">
        <f t="shared" si="3"/>
        <v>51828</v>
      </c>
      <c r="G42" s="1669">
        <f t="shared" si="3"/>
        <v>0</v>
      </c>
      <c r="H42" s="1669">
        <f t="shared" si="3"/>
        <v>35096</v>
      </c>
      <c r="I42" s="1669">
        <f t="shared" si="3"/>
        <v>0</v>
      </c>
      <c r="J42" s="1669">
        <f t="shared" si="3"/>
        <v>0</v>
      </c>
      <c r="K42" s="1669">
        <f t="shared" si="3"/>
        <v>3154657</v>
      </c>
      <c r="L42" s="1669">
        <f t="shared" si="3"/>
        <v>3305760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41279</v>
      </c>
      <c r="D44" s="481">
        <v>11460</v>
      </c>
      <c r="E44" s="481">
        <v>178346</v>
      </c>
      <c r="F44" s="481">
        <v>35183</v>
      </c>
      <c r="G44" s="481"/>
      <c r="H44" s="481"/>
      <c r="I44" s="467"/>
      <c r="J44" s="467"/>
      <c r="K44" s="1671">
        <f>SUM(C44:J44)</f>
        <v>266268</v>
      </c>
      <c r="L44" s="481">
        <v>333724</v>
      </c>
    </row>
    <row r="45" spans="1:14" x14ac:dyDescent="0.2">
      <c r="A45" s="1504" t="s">
        <v>815</v>
      </c>
      <c r="B45" s="614">
        <v>2220</v>
      </c>
      <c r="C45" s="466"/>
      <c r="D45" s="466"/>
      <c r="E45" s="466"/>
      <c r="F45" s="466"/>
      <c r="G45" s="466"/>
      <c r="H45" s="466"/>
      <c r="I45" s="467"/>
      <c r="J45" s="467"/>
      <c r="K45" s="1671">
        <f>SUM(C45:J45)</f>
        <v>0</v>
      </c>
      <c r="L45" s="466">
        <v>0</v>
      </c>
    </row>
    <row r="46" spans="1:14" x14ac:dyDescent="0.2">
      <c r="A46" s="1504" t="s">
        <v>816</v>
      </c>
      <c r="B46" s="614">
        <v>2230</v>
      </c>
      <c r="C46" s="466">
        <v>23276</v>
      </c>
      <c r="D46" s="466">
        <v>5649</v>
      </c>
      <c r="E46" s="466">
        <v>482</v>
      </c>
      <c r="F46" s="466">
        <v>5868</v>
      </c>
      <c r="G46" s="466"/>
      <c r="H46" s="466"/>
      <c r="I46" s="467"/>
      <c r="J46" s="467"/>
      <c r="K46" s="1671">
        <f>SUM(C46:J46)</f>
        <v>35275</v>
      </c>
      <c r="L46" s="466">
        <v>121891</v>
      </c>
    </row>
    <row r="47" spans="1:14" ht="12.75" customHeight="1" thickBot="1" x14ac:dyDescent="0.25">
      <c r="A47" s="1667" t="s">
        <v>561</v>
      </c>
      <c r="B47" s="1668" t="s">
        <v>32</v>
      </c>
      <c r="C47" s="1669">
        <f>SUM(C44:C46)</f>
        <v>64555</v>
      </c>
      <c r="D47" s="1669">
        <f t="shared" ref="D47:K47" si="4">SUM(D44:D46)</f>
        <v>17109</v>
      </c>
      <c r="E47" s="1669">
        <f t="shared" si="4"/>
        <v>178828</v>
      </c>
      <c r="F47" s="1669">
        <f t="shared" si="4"/>
        <v>41051</v>
      </c>
      <c r="G47" s="1669">
        <f t="shared" si="4"/>
        <v>0</v>
      </c>
      <c r="H47" s="1669">
        <f t="shared" si="4"/>
        <v>0</v>
      </c>
      <c r="I47" s="1669">
        <f t="shared" si="4"/>
        <v>0</v>
      </c>
      <c r="J47" s="1669">
        <f t="shared" si="4"/>
        <v>0</v>
      </c>
      <c r="K47" s="1669">
        <f t="shared" si="4"/>
        <v>301543</v>
      </c>
      <c r="L47" s="1669">
        <f>SUM(L44:L46)</f>
        <v>455615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1">
        <f>SUM(C49:J49)</f>
        <v>0</v>
      </c>
      <c r="L49" s="481">
        <v>0</v>
      </c>
    </row>
    <row r="50" spans="1:14" x14ac:dyDescent="0.2">
      <c r="A50" s="1504" t="s">
        <v>818</v>
      </c>
      <c r="B50" s="614">
        <v>2320</v>
      </c>
      <c r="C50" s="466"/>
      <c r="D50" s="466"/>
      <c r="E50" s="466"/>
      <c r="F50" s="466"/>
      <c r="G50" s="466"/>
      <c r="H50" s="466"/>
      <c r="I50" s="467"/>
      <c r="J50" s="467"/>
      <c r="K50" s="1671">
        <f>SUM(C50:J50)</f>
        <v>0</v>
      </c>
      <c r="L50" s="466">
        <v>0</v>
      </c>
    </row>
    <row r="51" spans="1:14" x14ac:dyDescent="0.2">
      <c r="A51" s="1504" t="s">
        <v>42</v>
      </c>
      <c r="B51" s="614">
        <v>2330</v>
      </c>
      <c r="C51" s="466">
        <v>264039</v>
      </c>
      <c r="D51" s="466">
        <v>116425</v>
      </c>
      <c r="E51" s="466">
        <v>40181</v>
      </c>
      <c r="F51" s="466">
        <v>32715</v>
      </c>
      <c r="G51" s="466"/>
      <c r="H51" s="466">
        <v>5582</v>
      </c>
      <c r="I51" s="467"/>
      <c r="J51" s="467"/>
      <c r="K51" s="1671">
        <f>SUM(C51:J51)</f>
        <v>458942</v>
      </c>
      <c r="L51" s="466">
        <v>507255</v>
      </c>
    </row>
    <row r="52" spans="1:14" ht="22.5" x14ac:dyDescent="0.2">
      <c r="A52" s="1505" t="s">
        <v>298</v>
      </c>
      <c r="B52" s="627" t="s">
        <v>366</v>
      </c>
      <c r="C52" s="474"/>
      <c r="D52" s="474"/>
      <c r="E52" s="474"/>
      <c r="F52" s="474"/>
      <c r="G52" s="474"/>
      <c r="H52" s="474"/>
      <c r="I52" s="474"/>
      <c r="J52" s="474"/>
      <c r="K52" s="1671">
        <f>SUM(C52:J52)</f>
        <v>0</v>
      </c>
      <c r="L52" s="474">
        <v>0</v>
      </c>
    </row>
    <row r="53" spans="1:14" ht="12.75" customHeight="1" thickBot="1" x14ac:dyDescent="0.25">
      <c r="A53" s="1667" t="s">
        <v>717</v>
      </c>
      <c r="B53" s="1668" t="s">
        <v>33</v>
      </c>
      <c r="C53" s="1669">
        <f>SUM(C49:C52)</f>
        <v>264039</v>
      </c>
      <c r="D53" s="1669">
        <f t="shared" ref="D53:L53" si="5">SUM(D49:D52)</f>
        <v>116425</v>
      </c>
      <c r="E53" s="1669">
        <f t="shared" si="5"/>
        <v>40181</v>
      </c>
      <c r="F53" s="1669">
        <f t="shared" si="5"/>
        <v>32715</v>
      </c>
      <c r="G53" s="1669">
        <f t="shared" si="5"/>
        <v>0</v>
      </c>
      <c r="H53" s="1669">
        <f t="shared" si="5"/>
        <v>5582</v>
      </c>
      <c r="I53" s="1669">
        <f t="shared" si="5"/>
        <v>0</v>
      </c>
      <c r="J53" s="1669">
        <f t="shared" si="5"/>
        <v>0</v>
      </c>
      <c r="K53" s="1669">
        <f t="shared" si="5"/>
        <v>458942</v>
      </c>
      <c r="L53" s="1669">
        <f t="shared" si="5"/>
        <v>507255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431943</v>
      </c>
      <c r="D55" s="481">
        <v>100066</v>
      </c>
      <c r="E55" s="481">
        <v>37275</v>
      </c>
      <c r="F55" s="481">
        <v>2548</v>
      </c>
      <c r="G55" s="481"/>
      <c r="H55" s="481"/>
      <c r="I55" s="467"/>
      <c r="J55" s="467"/>
      <c r="K55" s="1671">
        <f>SUM(C55:J55)</f>
        <v>571832</v>
      </c>
      <c r="L55" s="481">
        <v>594388</v>
      </c>
    </row>
    <row r="56" spans="1:14" ht="12.75" customHeight="1" x14ac:dyDescent="0.2">
      <c r="A56" s="1508" t="s">
        <v>376</v>
      </c>
      <c r="B56" s="628">
        <v>2490</v>
      </c>
      <c r="C56" s="466"/>
      <c r="D56" s="466"/>
      <c r="E56" s="466"/>
      <c r="F56" s="466"/>
      <c r="G56" s="466"/>
      <c r="H56" s="466"/>
      <c r="I56" s="467"/>
      <c r="J56" s="467"/>
      <c r="K56" s="1671">
        <f>SUM(C56:J56)</f>
        <v>0</v>
      </c>
      <c r="L56" s="466">
        <v>0</v>
      </c>
    </row>
    <row r="57" spans="1:14" s="343" customFormat="1" ht="12.75" customHeight="1" thickBot="1" x14ac:dyDescent="0.25">
      <c r="A57" s="1667" t="s">
        <v>263</v>
      </c>
      <c r="B57" s="1672" t="s">
        <v>34</v>
      </c>
      <c r="C57" s="1673">
        <f>SUM(C55:C56)</f>
        <v>431943</v>
      </c>
      <c r="D57" s="1673">
        <f t="shared" ref="D57:K57" si="6">SUM(D55:D56)</f>
        <v>100066</v>
      </c>
      <c r="E57" s="1673">
        <f t="shared" si="6"/>
        <v>37275</v>
      </c>
      <c r="F57" s="1673">
        <f t="shared" si="6"/>
        <v>2548</v>
      </c>
      <c r="G57" s="1673">
        <f t="shared" si="6"/>
        <v>0</v>
      </c>
      <c r="H57" s="1673">
        <f t="shared" si="6"/>
        <v>0</v>
      </c>
      <c r="I57" s="1673">
        <f t="shared" si="6"/>
        <v>0</v>
      </c>
      <c r="J57" s="1673">
        <f t="shared" si="6"/>
        <v>0</v>
      </c>
      <c r="K57" s="1673">
        <f t="shared" si="6"/>
        <v>571832</v>
      </c>
      <c r="L57" s="1669">
        <f>SUM(L55:L56)</f>
        <v>594388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v>0</v>
      </c>
      <c r="M59" s="609"/>
      <c r="N59" s="609"/>
    </row>
    <row r="60" spans="1:14" s="343" customFormat="1" x14ac:dyDescent="0.2">
      <c r="A60" s="1504" t="s">
        <v>463</v>
      </c>
      <c r="B60" s="614">
        <v>2520</v>
      </c>
      <c r="C60" s="466">
        <v>150880</v>
      </c>
      <c r="D60" s="466">
        <v>31044</v>
      </c>
      <c r="E60" s="466">
        <v>12164</v>
      </c>
      <c r="F60" s="466">
        <v>299</v>
      </c>
      <c r="G60" s="466"/>
      <c r="H60" s="466"/>
      <c r="I60" s="467"/>
      <c r="J60" s="467"/>
      <c r="K60" s="1671">
        <f t="shared" si="7"/>
        <v>194387</v>
      </c>
      <c r="L60" s="466">
        <v>205801</v>
      </c>
      <c r="M60" s="609"/>
      <c r="N60" s="609"/>
    </row>
    <row r="61" spans="1:14" s="343" customFormat="1" x14ac:dyDescent="0.2">
      <c r="A61" s="1504" t="s">
        <v>197</v>
      </c>
      <c r="B61" s="614">
        <v>2540</v>
      </c>
      <c r="C61" s="466">
        <v>258663</v>
      </c>
      <c r="D61" s="466">
        <v>86425</v>
      </c>
      <c r="E61" s="466">
        <v>201799</v>
      </c>
      <c r="F61" s="466">
        <v>119516</v>
      </c>
      <c r="G61" s="466">
        <v>12136</v>
      </c>
      <c r="H61" s="466"/>
      <c r="I61" s="467"/>
      <c r="J61" s="467"/>
      <c r="K61" s="1671">
        <f t="shared" si="7"/>
        <v>678539</v>
      </c>
      <c r="L61" s="466">
        <v>843986</v>
      </c>
      <c r="M61" s="609"/>
      <c r="N61" s="609"/>
    </row>
    <row r="62" spans="1:14" s="343" customFormat="1" x14ac:dyDescent="0.2">
      <c r="A62" s="1504" t="s">
        <v>953</v>
      </c>
      <c r="B62" s="614">
        <v>2550</v>
      </c>
      <c r="C62" s="466"/>
      <c r="D62" s="466"/>
      <c r="E62" s="466">
        <v>63708</v>
      </c>
      <c r="F62" s="466">
        <v>897</v>
      </c>
      <c r="G62" s="466"/>
      <c r="H62" s="466"/>
      <c r="I62" s="467"/>
      <c r="J62" s="467"/>
      <c r="K62" s="1671">
        <f t="shared" si="7"/>
        <v>64605</v>
      </c>
      <c r="L62" s="466">
        <v>68800</v>
      </c>
      <c r="M62" s="609"/>
      <c r="N62" s="609"/>
    </row>
    <row r="63" spans="1:14" s="609" customFormat="1" x14ac:dyDescent="0.2">
      <c r="A63" s="1504" t="s">
        <v>100</v>
      </c>
      <c r="B63" s="614">
        <v>2560</v>
      </c>
      <c r="C63" s="466">
        <v>17833</v>
      </c>
      <c r="D63" s="466">
        <v>14085</v>
      </c>
      <c r="E63" s="466">
        <v>3181</v>
      </c>
      <c r="F63" s="466">
        <v>50198</v>
      </c>
      <c r="G63" s="466">
        <v>7217</v>
      </c>
      <c r="H63" s="466"/>
      <c r="I63" s="467"/>
      <c r="J63" s="467"/>
      <c r="K63" s="1671">
        <f t="shared" si="7"/>
        <v>92514</v>
      </c>
      <c r="L63" s="466">
        <v>83843</v>
      </c>
    </row>
    <row r="64" spans="1:14" s="609" customFormat="1" x14ac:dyDescent="0.2">
      <c r="A64" s="1509" t="s">
        <v>101</v>
      </c>
      <c r="B64" s="630">
        <v>2570</v>
      </c>
      <c r="C64" s="481"/>
      <c r="D64" s="481"/>
      <c r="E64" s="481">
        <v>15387</v>
      </c>
      <c r="F64" s="481"/>
      <c r="G64" s="481"/>
      <c r="H64" s="481"/>
      <c r="I64" s="467"/>
      <c r="J64" s="467"/>
      <c r="K64" s="1671">
        <f t="shared" si="7"/>
        <v>15387</v>
      </c>
      <c r="L64" s="481">
        <v>21500</v>
      </c>
    </row>
    <row r="65" spans="1:14" s="343" customFormat="1" ht="12.75" customHeight="1" thickBot="1" x14ac:dyDescent="0.25">
      <c r="A65" s="1667" t="s">
        <v>719</v>
      </c>
      <c r="B65" s="1668" t="s">
        <v>35</v>
      </c>
      <c r="C65" s="1669">
        <f>SUM(C59:C64)</f>
        <v>427376</v>
      </c>
      <c r="D65" s="1669">
        <f t="shared" ref="D65:L65" si="8">SUM(D59:D64)</f>
        <v>131554</v>
      </c>
      <c r="E65" s="1669">
        <f t="shared" si="8"/>
        <v>296239</v>
      </c>
      <c r="F65" s="1669">
        <f t="shared" si="8"/>
        <v>170910</v>
      </c>
      <c r="G65" s="1669">
        <f t="shared" si="8"/>
        <v>19353</v>
      </c>
      <c r="H65" s="1669">
        <f t="shared" si="8"/>
        <v>0</v>
      </c>
      <c r="I65" s="1669">
        <f t="shared" si="8"/>
        <v>0</v>
      </c>
      <c r="J65" s="1669">
        <f t="shared" si="8"/>
        <v>0</v>
      </c>
      <c r="K65" s="1669">
        <f t="shared" si="8"/>
        <v>1045432</v>
      </c>
      <c r="L65" s="1669">
        <f t="shared" si="8"/>
        <v>1223930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v>0</v>
      </c>
      <c r="M67" s="609"/>
      <c r="N67" s="609"/>
    </row>
    <row r="68" spans="1:14" s="343" customFormat="1" x14ac:dyDescent="0.2">
      <c r="A68" s="1504" t="s">
        <v>607</v>
      </c>
      <c r="B68" s="614">
        <v>2620</v>
      </c>
      <c r="C68" s="466"/>
      <c r="D68" s="466"/>
      <c r="E68" s="466"/>
      <c r="F68" s="466"/>
      <c r="G68" s="466"/>
      <c r="H68" s="466"/>
      <c r="I68" s="467"/>
      <c r="J68" s="467"/>
      <c r="K68" s="1671">
        <f>SUM(C68:J68)</f>
        <v>0</v>
      </c>
      <c r="L68" s="466">
        <v>0</v>
      </c>
      <c r="M68" s="609"/>
      <c r="N68" s="609"/>
    </row>
    <row r="69" spans="1:14" s="343" customFormat="1" x14ac:dyDescent="0.2">
      <c r="A69" s="1504" t="s">
        <v>1061</v>
      </c>
      <c r="B69" s="614">
        <v>2630</v>
      </c>
      <c r="C69" s="466"/>
      <c r="D69" s="466"/>
      <c r="E69" s="466"/>
      <c r="F69" s="466"/>
      <c r="G69" s="466"/>
      <c r="H69" s="466"/>
      <c r="I69" s="467"/>
      <c r="J69" s="467"/>
      <c r="K69" s="1671">
        <f>SUM(C69:J69)</f>
        <v>0</v>
      </c>
      <c r="L69" s="466">
        <v>0</v>
      </c>
      <c r="M69" s="609"/>
      <c r="N69" s="609"/>
    </row>
    <row r="70" spans="1:14" s="343" customFormat="1" x14ac:dyDescent="0.2">
      <c r="A70" s="1504" t="s">
        <v>403</v>
      </c>
      <c r="B70" s="614">
        <v>2640</v>
      </c>
      <c r="C70" s="466"/>
      <c r="D70" s="466"/>
      <c r="E70" s="466"/>
      <c r="F70" s="466"/>
      <c r="G70" s="466"/>
      <c r="H70" s="466"/>
      <c r="I70" s="467"/>
      <c r="J70" s="467"/>
      <c r="K70" s="1671">
        <f>SUM(C70:J70)</f>
        <v>0</v>
      </c>
      <c r="L70" s="466">
        <v>0</v>
      </c>
      <c r="M70" s="609"/>
      <c r="N70" s="609"/>
    </row>
    <row r="71" spans="1:14" s="343" customFormat="1" x14ac:dyDescent="0.2">
      <c r="A71" s="1504" t="s">
        <v>404</v>
      </c>
      <c r="B71" s="614">
        <v>2660</v>
      </c>
      <c r="C71" s="466"/>
      <c r="D71" s="466"/>
      <c r="E71" s="466"/>
      <c r="F71" s="466"/>
      <c r="G71" s="466"/>
      <c r="H71" s="466"/>
      <c r="I71" s="467"/>
      <c r="J71" s="467"/>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10" t="s">
        <v>980</v>
      </c>
      <c r="B73" s="632" t="s">
        <v>574</v>
      </c>
      <c r="C73" s="573"/>
      <c r="D73" s="573"/>
      <c r="E73" s="573"/>
      <c r="F73" s="573">
        <v>40</v>
      </c>
      <c r="G73" s="573"/>
      <c r="H73" s="573"/>
      <c r="I73" s="531"/>
      <c r="J73" s="531"/>
      <c r="K73" s="1669">
        <f>SUM(C73:J73)</f>
        <v>40</v>
      </c>
      <c r="L73" s="576">
        <v>100</v>
      </c>
      <c r="M73" s="609"/>
      <c r="N73" s="609"/>
    </row>
    <row r="74" spans="1:14" ht="12.75" customHeight="1" thickTop="1" thickBot="1" x14ac:dyDescent="0.25">
      <c r="A74" s="1667" t="s">
        <v>811</v>
      </c>
      <c r="B74" s="1675">
        <v>2000</v>
      </c>
      <c r="C74" s="1676">
        <f>SUM(C42,C47,C53,C57,C65,C72,C73)</f>
        <v>3424734</v>
      </c>
      <c r="D74" s="1676">
        <f t="shared" ref="D74:K74" si="10">SUM(D42,D47,D53,D57,D65,D72,D73)</f>
        <v>1019451</v>
      </c>
      <c r="E74" s="1676">
        <f t="shared" si="10"/>
        <v>729138</v>
      </c>
      <c r="F74" s="1676">
        <f t="shared" si="10"/>
        <v>299092</v>
      </c>
      <c r="G74" s="1676">
        <f t="shared" si="10"/>
        <v>19353</v>
      </c>
      <c r="H74" s="1676">
        <f t="shared" si="10"/>
        <v>40678</v>
      </c>
      <c r="I74" s="1676">
        <f t="shared" si="10"/>
        <v>0</v>
      </c>
      <c r="J74" s="1676">
        <f t="shared" si="10"/>
        <v>0</v>
      </c>
      <c r="K74" s="1676">
        <f t="shared" si="10"/>
        <v>5532446</v>
      </c>
      <c r="L74" s="1676">
        <f>SUM(L42,L47,L53,L57,L65,L72,L73)</f>
        <v>6087048</v>
      </c>
    </row>
    <row r="75" spans="1:14" s="259" customFormat="1" ht="15.75" customHeight="1" thickTop="1" thickBot="1" x14ac:dyDescent="0.25">
      <c r="A75" s="1610" t="s">
        <v>47</v>
      </c>
      <c r="B75" s="1611" t="s">
        <v>575</v>
      </c>
      <c r="C75" s="573"/>
      <c r="D75" s="573"/>
      <c r="E75" s="573"/>
      <c r="F75" s="573"/>
      <c r="G75" s="573"/>
      <c r="H75" s="573"/>
      <c r="I75" s="531"/>
      <c r="J75" s="531"/>
      <c r="K75" s="1669">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v>0</v>
      </c>
    </row>
    <row r="79" spans="1:14" x14ac:dyDescent="0.2">
      <c r="A79" s="1504" t="s">
        <v>304</v>
      </c>
      <c r="B79" s="614">
        <v>4120</v>
      </c>
      <c r="C79" s="616"/>
      <c r="D79" s="616"/>
      <c r="E79" s="466"/>
      <c r="F79" s="616"/>
      <c r="G79" s="616"/>
      <c r="H79" s="466">
        <v>1295925</v>
      </c>
      <c r="I79" s="477"/>
      <c r="J79" s="477"/>
      <c r="K79" s="1670">
        <f t="shared" si="11"/>
        <v>1295925</v>
      </c>
      <c r="L79" s="466">
        <v>1328428</v>
      </c>
    </row>
    <row r="80" spans="1:14" x14ac:dyDescent="0.2">
      <c r="A80" s="1504" t="s">
        <v>305</v>
      </c>
      <c r="B80" s="614">
        <v>4130</v>
      </c>
      <c r="C80" s="616"/>
      <c r="D80" s="616"/>
      <c r="E80" s="466"/>
      <c r="F80" s="616"/>
      <c r="G80" s="616"/>
      <c r="H80" s="466"/>
      <c r="I80" s="477"/>
      <c r="J80" s="477"/>
      <c r="K80" s="1670">
        <f t="shared" si="11"/>
        <v>0</v>
      </c>
      <c r="L80" s="466">
        <v>0</v>
      </c>
    </row>
    <row r="81" spans="1:12" x14ac:dyDescent="0.2">
      <c r="A81" s="1504" t="s">
        <v>697</v>
      </c>
      <c r="B81" s="614">
        <v>4140</v>
      </c>
      <c r="C81" s="616"/>
      <c r="D81" s="616"/>
      <c r="E81" s="466"/>
      <c r="F81" s="616"/>
      <c r="G81" s="616"/>
      <c r="H81" s="466"/>
      <c r="I81" s="477"/>
      <c r="J81" s="477"/>
      <c r="K81" s="1670">
        <f t="shared" si="11"/>
        <v>0</v>
      </c>
      <c r="L81" s="466">
        <v>0</v>
      </c>
    </row>
    <row r="82" spans="1:12" x14ac:dyDescent="0.2">
      <c r="A82" s="1504" t="s">
        <v>86</v>
      </c>
      <c r="B82" s="614">
        <v>4170</v>
      </c>
      <c r="C82" s="616"/>
      <c r="D82" s="616"/>
      <c r="E82" s="466"/>
      <c r="F82" s="616"/>
      <c r="G82" s="616"/>
      <c r="H82" s="466"/>
      <c r="I82" s="477"/>
      <c r="J82" s="477"/>
      <c r="K82" s="1670">
        <f t="shared" si="11"/>
        <v>0</v>
      </c>
      <c r="L82" s="466">
        <v>0</v>
      </c>
    </row>
    <row r="83" spans="1:12" x14ac:dyDescent="0.2">
      <c r="A83" s="1508" t="s">
        <v>698</v>
      </c>
      <c r="B83" s="628">
        <v>4190</v>
      </c>
      <c r="C83" s="616"/>
      <c r="D83" s="616"/>
      <c r="E83" s="466"/>
      <c r="F83" s="616"/>
      <c r="G83" s="616"/>
      <c r="H83" s="466"/>
      <c r="I83" s="477"/>
      <c r="J83" s="477"/>
      <c r="K83" s="1670">
        <f t="shared" si="11"/>
        <v>0</v>
      </c>
      <c r="L83" s="466">
        <v>0</v>
      </c>
    </row>
    <row r="84" spans="1:12" ht="13.5" thickBot="1" x14ac:dyDescent="0.25">
      <c r="A84" s="1667" t="s">
        <v>1485</v>
      </c>
      <c r="B84" s="1677">
        <v>4100</v>
      </c>
      <c r="C84" s="616"/>
      <c r="D84" s="616"/>
      <c r="E84" s="1669">
        <f>SUM(E78:E83)</f>
        <v>0</v>
      </c>
      <c r="F84" s="616"/>
      <c r="G84" s="616"/>
      <c r="H84" s="1669">
        <f>SUM(H78:H83)</f>
        <v>1295925</v>
      </c>
      <c r="I84" s="477"/>
      <c r="J84" s="477"/>
      <c r="K84" s="1669">
        <f>SUM(K78:K83)</f>
        <v>1295925</v>
      </c>
      <c r="L84" s="1669">
        <f>SUM(L78:L83)</f>
        <v>1328428</v>
      </c>
    </row>
    <row r="85" spans="1:12" ht="12.75" customHeight="1" thickTop="1" thickBot="1" x14ac:dyDescent="0.25">
      <c r="A85" s="1511" t="s">
        <v>255</v>
      </c>
      <c r="B85" s="635">
        <v>4210</v>
      </c>
      <c r="C85" s="616"/>
      <c r="D85" s="616"/>
      <c r="E85" s="636"/>
      <c r="F85" s="616"/>
      <c r="G85" s="616"/>
      <c r="H85" s="535"/>
      <c r="I85" s="477"/>
      <c r="J85" s="477"/>
      <c r="K85" s="1676">
        <f>H85</f>
        <v>0</v>
      </c>
      <c r="L85" s="530">
        <v>0</v>
      </c>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v>0</v>
      </c>
    </row>
    <row r="87" spans="1:12" ht="14.25" thickTop="1" thickBot="1" x14ac:dyDescent="0.25">
      <c r="A87" s="1513" t="s">
        <v>700</v>
      </c>
      <c r="B87" s="639">
        <v>4230</v>
      </c>
      <c r="C87" s="616"/>
      <c r="D87" s="616"/>
      <c r="E87" s="638"/>
      <c r="F87" s="616"/>
      <c r="G87" s="616"/>
      <c r="H87" s="467"/>
      <c r="I87" s="477"/>
      <c r="J87" s="477"/>
      <c r="K87" s="1676">
        <f t="shared" si="12"/>
        <v>0</v>
      </c>
      <c r="L87" s="530">
        <v>0</v>
      </c>
    </row>
    <row r="88" spans="1:12" ht="12.75" customHeight="1" thickTop="1" thickBot="1" x14ac:dyDescent="0.25">
      <c r="A88" s="1513" t="s">
        <v>765</v>
      </c>
      <c r="B88" s="639">
        <v>4240</v>
      </c>
      <c r="C88" s="616"/>
      <c r="D88" s="616"/>
      <c r="E88" s="638"/>
      <c r="F88" s="616"/>
      <c r="G88" s="616"/>
      <c r="H88" s="467"/>
      <c r="I88" s="477"/>
      <c r="J88" s="477"/>
      <c r="K88" s="1676">
        <f t="shared" si="12"/>
        <v>0</v>
      </c>
      <c r="L88" s="530">
        <v>0</v>
      </c>
    </row>
    <row r="89" spans="1:12" ht="12.75" customHeight="1" thickTop="1" thickBot="1" x14ac:dyDescent="0.25">
      <c r="A89" s="1513" t="s">
        <v>701</v>
      </c>
      <c r="B89" s="639">
        <v>4270</v>
      </c>
      <c r="C89" s="616"/>
      <c r="D89" s="616"/>
      <c r="E89" s="638"/>
      <c r="F89" s="616"/>
      <c r="G89" s="616"/>
      <c r="H89" s="467"/>
      <c r="I89" s="477"/>
      <c r="J89" s="477"/>
      <c r="K89" s="1676">
        <f t="shared" si="12"/>
        <v>0</v>
      </c>
      <c r="L89" s="530">
        <v>0</v>
      </c>
    </row>
    <row r="90" spans="1:12" ht="12.75" customHeight="1" thickTop="1" thickBot="1" x14ac:dyDescent="0.25">
      <c r="A90" s="1513" t="s">
        <v>686</v>
      </c>
      <c r="B90" s="639">
        <v>4280</v>
      </c>
      <c r="C90" s="616"/>
      <c r="D90" s="616"/>
      <c r="E90" s="638"/>
      <c r="F90" s="616"/>
      <c r="G90" s="616"/>
      <c r="H90" s="467"/>
      <c r="I90" s="477"/>
      <c r="J90" s="477"/>
      <c r="K90" s="1676">
        <f t="shared" si="12"/>
        <v>0</v>
      </c>
      <c r="L90" s="530">
        <v>0</v>
      </c>
    </row>
    <row r="91" spans="1:12" ht="12.75" customHeight="1" thickTop="1" thickBot="1" x14ac:dyDescent="0.25">
      <c r="A91" s="1513" t="s">
        <v>687</v>
      </c>
      <c r="B91" s="639">
        <v>4290</v>
      </c>
      <c r="C91" s="616"/>
      <c r="D91" s="616"/>
      <c r="E91" s="638"/>
      <c r="F91" s="616"/>
      <c r="G91" s="616"/>
      <c r="H91" s="467"/>
      <c r="I91" s="477"/>
      <c r="J91" s="477"/>
      <c r="K91" s="1676">
        <f t="shared" si="12"/>
        <v>0</v>
      </c>
      <c r="L91" s="530">
        <v>0</v>
      </c>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2" t="s">
        <v>688</v>
      </c>
      <c r="B93" s="640">
        <v>4310</v>
      </c>
      <c r="C93" s="616"/>
      <c r="D93" s="616"/>
      <c r="E93" s="638"/>
      <c r="F93" s="616"/>
      <c r="G93" s="616"/>
      <c r="H93" s="641"/>
      <c r="I93" s="477"/>
      <c r="J93" s="477"/>
      <c r="K93" s="1676">
        <f t="shared" si="12"/>
        <v>0</v>
      </c>
      <c r="L93" s="532">
        <v>0</v>
      </c>
    </row>
    <row r="94" spans="1:12" ht="12.75" customHeight="1" thickTop="1" thickBot="1" x14ac:dyDescent="0.25">
      <c r="A94" s="1513" t="s">
        <v>689</v>
      </c>
      <c r="B94" s="639">
        <v>4320</v>
      </c>
      <c r="C94" s="616"/>
      <c r="D94" s="616"/>
      <c r="E94" s="638"/>
      <c r="F94" s="616"/>
      <c r="G94" s="616"/>
      <c r="H94" s="467"/>
      <c r="I94" s="477"/>
      <c r="J94" s="477"/>
      <c r="K94" s="1676">
        <f t="shared" si="12"/>
        <v>0</v>
      </c>
      <c r="L94" s="530">
        <v>0</v>
      </c>
    </row>
    <row r="95" spans="1:12" ht="15" customHeight="1" thickTop="1" thickBot="1" x14ac:dyDescent="0.25">
      <c r="A95" s="1513" t="s">
        <v>1488</v>
      </c>
      <c r="B95" s="639">
        <v>4330</v>
      </c>
      <c r="C95" s="616"/>
      <c r="D95" s="616"/>
      <c r="E95" s="638"/>
      <c r="F95" s="616"/>
      <c r="G95" s="616"/>
      <c r="H95" s="467"/>
      <c r="I95" s="477"/>
      <c r="J95" s="477"/>
      <c r="K95" s="1676">
        <f t="shared" si="12"/>
        <v>0</v>
      </c>
      <c r="L95" s="530">
        <v>0</v>
      </c>
    </row>
    <row r="96" spans="1:12" ht="14.25" thickTop="1" thickBot="1" x14ac:dyDescent="0.25">
      <c r="A96" s="1513" t="s">
        <v>690</v>
      </c>
      <c r="B96" s="639">
        <v>4340</v>
      </c>
      <c r="C96" s="616"/>
      <c r="D96" s="616"/>
      <c r="E96" s="638"/>
      <c r="F96" s="616"/>
      <c r="G96" s="616"/>
      <c r="H96" s="467"/>
      <c r="I96" s="477"/>
      <c r="J96" s="477"/>
      <c r="K96" s="1676">
        <f t="shared" si="12"/>
        <v>0</v>
      </c>
      <c r="L96" s="530">
        <v>0</v>
      </c>
    </row>
    <row r="97" spans="1:14" ht="12.75" customHeight="1" thickTop="1" thickBot="1" x14ac:dyDescent="0.25">
      <c r="A97" s="1513" t="s">
        <v>763</v>
      </c>
      <c r="B97" s="639">
        <v>4370</v>
      </c>
      <c r="C97" s="616"/>
      <c r="D97" s="616"/>
      <c r="E97" s="638"/>
      <c r="F97" s="616"/>
      <c r="G97" s="616"/>
      <c r="H97" s="467"/>
      <c r="I97" s="477"/>
      <c r="J97" s="477"/>
      <c r="K97" s="1676">
        <f t="shared" si="12"/>
        <v>0</v>
      </c>
      <c r="L97" s="530">
        <v>0</v>
      </c>
    </row>
    <row r="98" spans="1:14" ht="14.25" thickTop="1" thickBot="1" x14ac:dyDescent="0.25">
      <c r="A98" s="1513" t="s">
        <v>764</v>
      </c>
      <c r="B98" s="639">
        <v>4380</v>
      </c>
      <c r="C98" s="616"/>
      <c r="D98" s="616"/>
      <c r="E98" s="642"/>
      <c r="F98" s="616"/>
      <c r="G98" s="616"/>
      <c r="H98" s="467"/>
      <c r="I98" s="477"/>
      <c r="J98" s="477"/>
      <c r="K98" s="1676">
        <f t="shared" si="12"/>
        <v>0</v>
      </c>
      <c r="L98" s="530">
        <v>0</v>
      </c>
    </row>
    <row r="99" spans="1:14" ht="14.25" thickTop="1" thickBot="1" x14ac:dyDescent="0.25">
      <c r="A99" s="1513" t="s">
        <v>367</v>
      </c>
      <c r="B99" s="639">
        <v>4390</v>
      </c>
      <c r="C99" s="616"/>
      <c r="D99" s="616"/>
      <c r="E99" s="532"/>
      <c r="F99" s="616"/>
      <c r="G99" s="616"/>
      <c r="H99" s="467"/>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v>0</v>
      </c>
    </row>
    <row r="102" spans="1:14" ht="12.75" customHeight="1" thickTop="1" thickBot="1" x14ac:dyDescent="0.25">
      <c r="A102" s="1667" t="s">
        <v>1487</v>
      </c>
      <c r="B102" s="1677">
        <v>4000</v>
      </c>
      <c r="C102" s="616"/>
      <c r="D102" s="616"/>
      <c r="E102" s="1676">
        <f>SUM(E84,E92,E100,E101)</f>
        <v>0</v>
      </c>
      <c r="F102" s="616"/>
      <c r="G102" s="616"/>
      <c r="H102" s="1676">
        <f>SUM(H84,H92,H100,H101)</f>
        <v>1295925</v>
      </c>
      <c r="I102" s="477"/>
      <c r="J102" s="477"/>
      <c r="K102" s="1676">
        <f>SUM(K84,K92,K100,K101)</f>
        <v>1295925</v>
      </c>
      <c r="L102" s="1676">
        <f>SUM(L84,L92,L100,L101)</f>
        <v>1328428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v>0</v>
      </c>
      <c r="M105" s="210"/>
      <c r="N105" s="210"/>
    </row>
    <row r="106" spans="1:14" s="597" customFormat="1" x14ac:dyDescent="0.2">
      <c r="A106" s="1504"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0">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5242043</v>
      </c>
      <c r="D114" s="1669">
        <f t="shared" ref="D114:K114" si="13">SUM(D33,D74,D75,D102,D112,D113)</f>
        <v>1677085</v>
      </c>
      <c r="E114" s="1669">
        <f t="shared" si="13"/>
        <v>826038</v>
      </c>
      <c r="F114" s="1669">
        <f t="shared" si="13"/>
        <v>404046</v>
      </c>
      <c r="G114" s="1669">
        <f t="shared" si="13"/>
        <v>47435</v>
      </c>
      <c r="H114" s="1669">
        <f>SUM(H33,H74,H75,H102,H112,H113)</f>
        <v>1472100</v>
      </c>
      <c r="I114" s="1669">
        <f t="shared" si="13"/>
        <v>0</v>
      </c>
      <c r="J114" s="1669">
        <f t="shared" si="13"/>
        <v>0</v>
      </c>
      <c r="K114" s="1669">
        <f t="shared" si="13"/>
        <v>9668747</v>
      </c>
      <c r="L114" s="1669">
        <f>SUM(L33,L74,L75,L102,L112,L113)</f>
        <v>10675480</v>
      </c>
    </row>
    <row r="115" spans="1:14" ht="13.5" thickTop="1" x14ac:dyDescent="0.2">
      <c r="A115" s="2154" t="s">
        <v>996</v>
      </c>
      <c r="B115" s="2155"/>
      <c r="C115" s="618"/>
      <c r="D115" s="618"/>
      <c r="E115" s="618"/>
      <c r="F115" s="618"/>
      <c r="G115" s="618"/>
      <c r="H115" s="618"/>
      <c r="I115" s="618"/>
      <c r="J115" s="618"/>
      <c r="K115" s="1683">
        <f>'Revenues 9-14'!C268-'Expenditures 15-22'!K114</f>
        <v>-390218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v>0</v>
      </c>
    </row>
    <row r="123" spans="1:14" ht="14.25" thickTop="1" thickBot="1" x14ac:dyDescent="0.25">
      <c r="A123" s="1504" t="s">
        <v>4</v>
      </c>
      <c r="B123" s="614">
        <v>2530</v>
      </c>
      <c r="C123" s="466"/>
      <c r="D123" s="466"/>
      <c r="E123" s="466"/>
      <c r="F123" s="466"/>
      <c r="G123" s="466"/>
      <c r="H123" s="466"/>
      <c r="I123" s="467"/>
      <c r="J123" s="467"/>
      <c r="K123" s="1669">
        <f>SUM(C123:J123)</f>
        <v>0</v>
      </c>
      <c r="L123" s="466">
        <v>0</v>
      </c>
    </row>
    <row r="124" spans="1:14" ht="14.25" thickTop="1" thickBot="1" x14ac:dyDescent="0.25">
      <c r="A124" s="1504" t="s">
        <v>197</v>
      </c>
      <c r="B124" s="614">
        <v>2540</v>
      </c>
      <c r="C124" s="466"/>
      <c r="D124" s="466"/>
      <c r="E124" s="466"/>
      <c r="F124" s="466"/>
      <c r="G124" s="466"/>
      <c r="H124" s="466"/>
      <c r="I124" s="467"/>
      <c r="J124" s="467"/>
      <c r="K124" s="1669">
        <f>SUM(C124:J124)</f>
        <v>0</v>
      </c>
      <c r="L124" s="466">
        <v>0</v>
      </c>
    </row>
    <row r="125" spans="1:14" ht="14.25" thickTop="1" thickBot="1" x14ac:dyDescent="0.25">
      <c r="A125" s="1504" t="s">
        <v>953</v>
      </c>
      <c r="B125" s="614">
        <v>2550</v>
      </c>
      <c r="C125" s="466"/>
      <c r="D125" s="466"/>
      <c r="E125" s="466"/>
      <c r="F125" s="466"/>
      <c r="G125" s="466"/>
      <c r="H125" s="466"/>
      <c r="I125" s="467"/>
      <c r="J125" s="467"/>
      <c r="K125" s="1669">
        <f>SUM(C125:J125)</f>
        <v>0</v>
      </c>
      <c r="L125" s="466">
        <v>0</v>
      </c>
    </row>
    <row r="126" spans="1:14" ht="14.25" thickTop="1" thickBot="1" x14ac:dyDescent="0.25">
      <c r="A126" s="1504"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719</v>
      </c>
      <c r="B127" s="1668" t="s">
        <v>35</v>
      </c>
      <c r="C127" s="1669">
        <f>SUM(C122:C126)</f>
        <v>0</v>
      </c>
      <c r="D127" s="1669">
        <f t="shared" ref="D127:L127" si="14">SUM(D122:D126)</f>
        <v>0</v>
      </c>
      <c r="E127" s="1669">
        <f t="shared" si="14"/>
        <v>0</v>
      </c>
      <c r="F127" s="1669">
        <f t="shared" si="14"/>
        <v>0</v>
      </c>
      <c r="G127" s="1669">
        <f t="shared" si="14"/>
        <v>0</v>
      </c>
      <c r="H127" s="1669">
        <f t="shared" si="14"/>
        <v>0</v>
      </c>
      <c r="I127" s="1669">
        <f t="shared" si="14"/>
        <v>0</v>
      </c>
      <c r="J127" s="1669">
        <f t="shared" si="14"/>
        <v>0</v>
      </c>
      <c r="K127" s="1669">
        <f t="shared" si="14"/>
        <v>0</v>
      </c>
      <c r="L127" s="1669">
        <f t="shared" si="14"/>
        <v>0</v>
      </c>
    </row>
    <row r="128" spans="1:14" ht="12.75" customHeight="1" thickTop="1" x14ac:dyDescent="0.2">
      <c r="A128" s="1511" t="s">
        <v>980</v>
      </c>
      <c r="B128" s="655" t="s">
        <v>574</v>
      </c>
      <c r="C128" s="656"/>
      <c r="D128" s="656"/>
      <c r="E128" s="656"/>
      <c r="F128" s="656"/>
      <c r="G128" s="656"/>
      <c r="H128" s="656"/>
      <c r="I128" s="535"/>
      <c r="J128" s="535"/>
      <c r="K128" s="1684">
        <f>SUM(C128:J128)</f>
        <v>0</v>
      </c>
      <c r="L128" s="656">
        <v>0</v>
      </c>
    </row>
    <row r="129" spans="1:14" ht="12.75" customHeight="1" thickBot="1" x14ac:dyDescent="0.25">
      <c r="A129" s="1685" t="s">
        <v>811</v>
      </c>
      <c r="B129" s="1686" t="s">
        <v>569</v>
      </c>
      <c r="C129" s="1676">
        <f>SUM(C120,C127,C128)</f>
        <v>0</v>
      </c>
      <c r="D129" s="1676">
        <f t="shared" ref="D129:L129" si="15">SUM(D120,D127,D128)</f>
        <v>0</v>
      </c>
      <c r="E129" s="1676">
        <f t="shared" si="15"/>
        <v>0</v>
      </c>
      <c r="F129" s="1676">
        <f t="shared" si="15"/>
        <v>0</v>
      </c>
      <c r="G129" s="1676">
        <f t="shared" si="15"/>
        <v>0</v>
      </c>
      <c r="H129" s="1676">
        <f t="shared" si="15"/>
        <v>0</v>
      </c>
      <c r="I129" s="1676">
        <f t="shared" si="15"/>
        <v>0</v>
      </c>
      <c r="J129" s="1676">
        <f t="shared" si="15"/>
        <v>0</v>
      </c>
      <c r="K129" s="1676">
        <f t="shared" si="15"/>
        <v>0</v>
      </c>
      <c r="L129" s="1676">
        <f t="shared" si="15"/>
        <v>0</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0" t="s">
        <v>1841</v>
      </c>
      <c r="C133" s="468"/>
      <c r="D133" s="468"/>
      <c r="E133" s="641"/>
      <c r="F133" s="468"/>
      <c r="G133" s="468"/>
      <c r="H133" s="641"/>
      <c r="I133" s="468"/>
      <c r="J133" s="468"/>
      <c r="K133" s="1820">
        <f>SUM(E133,H133)</f>
        <v>0</v>
      </c>
      <c r="L133" s="641">
        <v>0</v>
      </c>
      <c r="M133" s="206"/>
      <c r="N133" s="206"/>
    </row>
    <row r="134" spans="1:14" x14ac:dyDescent="0.2">
      <c r="A134" s="1504" t="s">
        <v>304</v>
      </c>
      <c r="B134" s="614">
        <v>4120</v>
      </c>
      <c r="C134" s="616"/>
      <c r="D134" s="616"/>
      <c r="E134" s="478"/>
      <c r="F134" s="616"/>
      <c r="G134" s="616"/>
      <c r="H134" s="481"/>
      <c r="I134" s="477"/>
      <c r="J134" s="616"/>
      <c r="K134" s="1671">
        <f>SUM(E134,H134)</f>
        <v>0</v>
      </c>
      <c r="L134" s="481">
        <v>0</v>
      </c>
    </row>
    <row r="135" spans="1:14" x14ac:dyDescent="0.2">
      <c r="A135" s="1504" t="s">
        <v>697</v>
      </c>
      <c r="B135" s="614">
        <v>4140</v>
      </c>
      <c r="C135" s="616"/>
      <c r="D135" s="616"/>
      <c r="E135" s="467"/>
      <c r="F135" s="616"/>
      <c r="G135" s="616"/>
      <c r="H135" s="466"/>
      <c r="I135" s="477"/>
      <c r="J135" s="616"/>
      <c r="K135" s="1671">
        <f>SUM(E135,H135)</f>
        <v>0</v>
      </c>
      <c r="L135" s="466">
        <v>0</v>
      </c>
    </row>
    <row r="136" spans="1:14" x14ac:dyDescent="0.2">
      <c r="A136" s="1508" t="s">
        <v>698</v>
      </c>
      <c r="B136" s="628">
        <v>4190</v>
      </c>
      <c r="C136" s="616"/>
      <c r="D136" s="616"/>
      <c r="E136" s="467"/>
      <c r="F136" s="616"/>
      <c r="G136" s="616"/>
      <c r="H136" s="466"/>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v>0</v>
      </c>
    </row>
    <row r="143" spans="1:14" x14ac:dyDescent="0.2">
      <c r="A143" s="1504" t="s">
        <v>88</v>
      </c>
      <c r="B143" s="614">
        <v>5120</v>
      </c>
      <c r="C143" s="616"/>
      <c r="D143" s="616"/>
      <c r="E143" s="616"/>
      <c r="F143" s="616"/>
      <c r="G143" s="616"/>
      <c r="H143" s="466"/>
      <c r="I143" s="468"/>
      <c r="J143" s="616"/>
      <c r="K143" s="1671">
        <f>SUM(H143)</f>
        <v>0</v>
      </c>
      <c r="L143" s="466">
        <v>0</v>
      </c>
    </row>
    <row r="144" spans="1:14" ht="12.75" customHeight="1" x14ac:dyDescent="0.2">
      <c r="A144" s="1504" t="s">
        <v>1170</v>
      </c>
      <c r="B144" s="628" t="s">
        <v>617</v>
      </c>
      <c r="C144" s="616"/>
      <c r="D144" s="616"/>
      <c r="E144" s="616"/>
      <c r="F144" s="616"/>
      <c r="G144" s="616"/>
      <c r="H144" s="466"/>
      <c r="I144" s="468"/>
      <c r="J144" s="616"/>
      <c r="K144" s="1671">
        <f>SUM(H144)</f>
        <v>0</v>
      </c>
      <c r="L144" s="466">
        <v>0</v>
      </c>
    </row>
    <row r="145" spans="1:14" x14ac:dyDescent="0.2">
      <c r="A145" s="1504" t="s">
        <v>89</v>
      </c>
      <c r="B145" s="614" t="s">
        <v>589</v>
      </c>
      <c r="C145" s="616"/>
      <c r="D145" s="616"/>
      <c r="E145" s="616"/>
      <c r="F145" s="616"/>
      <c r="G145" s="616"/>
      <c r="H145" s="466"/>
      <c r="I145" s="468"/>
      <c r="J145" s="616"/>
      <c r="K145" s="1671">
        <f>SUM(H145)</f>
        <v>0</v>
      </c>
      <c r="L145" s="466">
        <v>0</v>
      </c>
    </row>
    <row r="146" spans="1:14" ht="12.75" customHeight="1" x14ac:dyDescent="0.2">
      <c r="A146" s="1504" t="s">
        <v>619</v>
      </c>
      <c r="B146" s="614" t="s">
        <v>618</v>
      </c>
      <c r="C146" s="616"/>
      <c r="D146" s="616"/>
      <c r="E146" s="616"/>
      <c r="F146" s="616"/>
      <c r="G146" s="616"/>
      <c r="H146" s="466"/>
      <c r="I146" s="468"/>
      <c r="J146" s="616"/>
      <c r="K146" s="1671">
        <f>SUM(H146)</f>
        <v>0</v>
      </c>
      <c r="L146" s="466">
        <v>0</v>
      </c>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v>0</v>
      </c>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1" t="s">
        <v>620</v>
      </c>
      <c r="B151" s="2151"/>
      <c r="C151" s="1669">
        <f>SUM(C129,C130,C139,C149,C150)</f>
        <v>0</v>
      </c>
      <c r="D151" s="1669">
        <f t="shared" ref="D151:K151" si="16">SUM(D129,D130,D139,D149,D150)</f>
        <v>0</v>
      </c>
      <c r="E151" s="1669">
        <f t="shared" si="16"/>
        <v>0</v>
      </c>
      <c r="F151" s="1669">
        <f t="shared" si="16"/>
        <v>0</v>
      </c>
      <c r="G151" s="1669">
        <f t="shared" si="16"/>
        <v>0</v>
      </c>
      <c r="H151" s="1669">
        <f t="shared" si="16"/>
        <v>0</v>
      </c>
      <c r="I151" s="1669">
        <f t="shared" si="16"/>
        <v>0</v>
      </c>
      <c r="J151" s="1669">
        <f t="shared" si="16"/>
        <v>0</v>
      </c>
      <c r="K151" s="1669">
        <f t="shared" si="16"/>
        <v>0</v>
      </c>
      <c r="L151" s="1669">
        <f>SUM(L129,L130,L139,L149,L150)</f>
        <v>0</v>
      </c>
    </row>
    <row r="152" spans="1:14" ht="12.75" customHeight="1" thickTop="1" x14ac:dyDescent="0.2">
      <c r="A152" s="2174" t="s">
        <v>1178</v>
      </c>
      <c r="B152" s="2175"/>
      <c r="C152" s="618"/>
      <c r="D152" s="618"/>
      <c r="E152" s="618"/>
      <c r="F152" s="618"/>
      <c r="G152" s="618"/>
      <c r="H152" s="618"/>
      <c r="I152" s="618"/>
      <c r="J152" s="616"/>
      <c r="K152" s="1683">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1841</v>
      </c>
      <c r="C157" s="616"/>
      <c r="D157" s="616"/>
      <c r="E157" s="616"/>
      <c r="F157" s="616"/>
      <c r="G157" s="616"/>
      <c r="H157" s="641"/>
      <c r="I157" s="616"/>
      <c r="J157" s="616"/>
      <c r="K157" s="1670">
        <f>H157</f>
        <v>0</v>
      </c>
      <c r="L157" s="467">
        <v>0</v>
      </c>
      <c r="M157" s="619"/>
      <c r="N157" s="619"/>
    </row>
    <row r="158" spans="1:14" s="620" customFormat="1" ht="12" x14ac:dyDescent="0.2">
      <c r="A158" s="1825" t="s">
        <v>304</v>
      </c>
      <c r="B158" s="1826" t="s">
        <v>1843</v>
      </c>
      <c r="C158" s="616"/>
      <c r="D158" s="616"/>
      <c r="E158" s="616"/>
      <c r="F158" s="616"/>
      <c r="G158" s="616"/>
      <c r="H158" s="467"/>
      <c r="I158" s="616"/>
      <c r="J158" s="616"/>
      <c r="K158" s="1670">
        <f>H158</f>
        <v>0</v>
      </c>
      <c r="L158" s="467">
        <v>0</v>
      </c>
      <c r="M158" s="619"/>
      <c r="N158" s="619"/>
    </row>
    <row r="159" spans="1:14" s="620" customFormat="1" ht="12" x14ac:dyDescent="0.2">
      <c r="A159" s="1825" t="s">
        <v>1844</v>
      </c>
      <c r="B159" s="1826" t="s">
        <v>558</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1845</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v>0</v>
      </c>
    </row>
    <row r="164" spans="1:14" x14ac:dyDescent="0.2">
      <c r="A164" s="1504" t="s">
        <v>88</v>
      </c>
      <c r="B164" s="614">
        <v>5120</v>
      </c>
      <c r="C164" s="616"/>
      <c r="D164" s="616"/>
      <c r="E164" s="616"/>
      <c r="F164" s="616"/>
      <c r="G164" s="616"/>
      <c r="H164" s="466"/>
      <c r="I164" s="616"/>
      <c r="J164" s="616"/>
      <c r="K164" s="1670">
        <f>SUM(C164:J164)</f>
        <v>0</v>
      </c>
      <c r="L164" s="466">
        <v>0</v>
      </c>
    </row>
    <row r="165" spans="1:14" ht="12.75" customHeight="1" x14ac:dyDescent="0.2">
      <c r="A165" s="1504" t="s">
        <v>1170</v>
      </c>
      <c r="B165" s="614" t="s">
        <v>617</v>
      </c>
      <c r="C165" s="616"/>
      <c r="D165" s="616"/>
      <c r="E165" s="616"/>
      <c r="F165" s="616"/>
      <c r="G165" s="616"/>
      <c r="H165" s="466"/>
      <c r="I165" s="616"/>
      <c r="J165" s="616"/>
      <c r="K165" s="1670">
        <f>SUM(C165:J165)</f>
        <v>0</v>
      </c>
      <c r="L165" s="466">
        <v>0</v>
      </c>
    </row>
    <row r="166" spans="1:14" x14ac:dyDescent="0.2">
      <c r="A166" s="1504" t="s">
        <v>89</v>
      </c>
      <c r="B166" s="628" t="s">
        <v>589</v>
      </c>
      <c r="C166" s="616"/>
      <c r="D166" s="616"/>
      <c r="E166" s="616"/>
      <c r="F166" s="616"/>
      <c r="G166" s="616"/>
      <c r="H166" s="466"/>
      <c r="I166" s="616"/>
      <c r="J166" s="616"/>
      <c r="K166" s="1670">
        <f>SUM(C166:J166)</f>
        <v>0</v>
      </c>
      <c r="L166" s="466">
        <v>0</v>
      </c>
    </row>
    <row r="167" spans="1:14" ht="12.75" customHeight="1" x14ac:dyDescent="0.2">
      <c r="A167" s="1504" t="s">
        <v>619</v>
      </c>
      <c r="B167" s="614" t="s">
        <v>618</v>
      </c>
      <c r="C167" s="616"/>
      <c r="D167" s="616"/>
      <c r="E167" s="616"/>
      <c r="F167" s="616"/>
      <c r="G167" s="616"/>
      <c r="H167" s="466"/>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c r="I169" s="616"/>
      <c r="J169" s="616"/>
      <c r="K169" s="1670">
        <f>SUM(C169:H169)</f>
        <v>0</v>
      </c>
      <c r="L169" s="656">
        <v>0</v>
      </c>
    </row>
    <row r="170" spans="1:14" ht="33.75" customHeight="1" x14ac:dyDescent="0.2">
      <c r="A170" s="669" t="s">
        <v>1670</v>
      </c>
      <c r="B170" s="671" t="s">
        <v>31</v>
      </c>
      <c r="C170" s="616"/>
      <c r="D170" s="616"/>
      <c r="E170" s="616"/>
      <c r="F170" s="616"/>
      <c r="G170" s="616"/>
      <c r="H170" s="569"/>
      <c r="I170" s="616"/>
      <c r="J170" s="616"/>
      <c r="K170" s="1670">
        <f>SUM(C170:J170)</f>
        <v>0</v>
      </c>
      <c r="L170" s="569">
        <v>0</v>
      </c>
    </row>
    <row r="171" spans="1:14" ht="15.75" customHeight="1" x14ac:dyDescent="0.2">
      <c r="A171" s="621" t="s">
        <v>766</v>
      </c>
      <c r="B171" s="672" t="s">
        <v>84</v>
      </c>
      <c r="C171" s="616"/>
      <c r="D171" s="616"/>
      <c r="E171" s="466"/>
      <c r="F171" s="616"/>
      <c r="G171" s="616"/>
      <c r="H171" s="569"/>
      <c r="I171" s="477"/>
      <c r="J171" s="616"/>
      <c r="K171" s="1670">
        <f>SUM(C171:J171)</f>
        <v>0</v>
      </c>
      <c r="L171" s="569">
        <v>0</v>
      </c>
    </row>
    <row r="172" spans="1:14" ht="12.75" customHeight="1" thickBot="1" x14ac:dyDescent="0.25">
      <c r="A172" s="1667" t="s">
        <v>638</v>
      </c>
      <c r="B172" s="1668" t="s">
        <v>492</v>
      </c>
      <c r="C172" s="616"/>
      <c r="D172" s="616"/>
      <c r="E172" s="1676">
        <f>SUM(E168,E169,E170,E171)</f>
        <v>0</v>
      </c>
      <c r="F172" s="616"/>
      <c r="G172" s="616"/>
      <c r="H172" s="1676">
        <f>SUM(H168,H169,H170,H171)</f>
        <v>0</v>
      </c>
      <c r="I172" s="638"/>
      <c r="J172" s="616"/>
      <c r="K172" s="1676">
        <f>SUM(K168,K169,K170,K171)</f>
        <v>0</v>
      </c>
      <c r="L172" s="1676">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0</v>
      </c>
      <c r="I174" s="638"/>
      <c r="J174" s="616"/>
      <c r="K174" s="1676">
        <f>SUM(K160,K172,K173)</f>
        <v>0</v>
      </c>
      <c r="L174" s="1676">
        <f>SUM(L160,L172,L173)</f>
        <v>0</v>
      </c>
    </row>
    <row r="175" spans="1:14" ht="13.5" thickTop="1" x14ac:dyDescent="0.2">
      <c r="A175" s="2154" t="s">
        <v>996</v>
      </c>
      <c r="B175" s="2155"/>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0">
        <f>SUM(C182:J182)</f>
        <v>0</v>
      </c>
      <c r="L182" s="466">
        <v>0</v>
      </c>
    </row>
    <row r="183" spans="1:14" ht="12.75" customHeight="1" thickBot="1" x14ac:dyDescent="0.25">
      <c r="A183" s="1509" t="s">
        <v>980</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811</v>
      </c>
      <c r="B184" s="1668" t="s">
        <v>569</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0</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v>0</v>
      </c>
    </row>
    <row r="189" spans="1:14" x14ac:dyDescent="0.2">
      <c r="A189" s="1504" t="s">
        <v>304</v>
      </c>
      <c r="B189" s="614">
        <v>4120</v>
      </c>
      <c r="C189" s="616"/>
      <c r="D189" s="616"/>
      <c r="E189" s="466"/>
      <c r="F189" s="616"/>
      <c r="G189" s="616"/>
      <c r="H189" s="466"/>
      <c r="I189" s="477"/>
      <c r="J189" s="616"/>
      <c r="K189" s="1670">
        <f t="shared" si="18"/>
        <v>0</v>
      </c>
      <c r="L189" s="466">
        <v>0</v>
      </c>
    </row>
    <row r="190" spans="1:14" x14ac:dyDescent="0.2">
      <c r="A190" s="1504" t="s">
        <v>305</v>
      </c>
      <c r="B190" s="628">
        <v>4130</v>
      </c>
      <c r="C190" s="616"/>
      <c r="D190" s="616"/>
      <c r="E190" s="466"/>
      <c r="F190" s="616"/>
      <c r="G190" s="616"/>
      <c r="H190" s="466"/>
      <c r="I190" s="477"/>
      <c r="J190" s="616"/>
      <c r="K190" s="1670">
        <f t="shared" si="18"/>
        <v>0</v>
      </c>
      <c r="L190" s="466">
        <v>0</v>
      </c>
    </row>
    <row r="191" spans="1:14" x14ac:dyDescent="0.2">
      <c r="A191" s="1504" t="s">
        <v>697</v>
      </c>
      <c r="B191" s="614">
        <v>4140</v>
      </c>
      <c r="C191" s="616"/>
      <c r="D191" s="616"/>
      <c r="E191" s="466"/>
      <c r="F191" s="616"/>
      <c r="G191" s="616"/>
      <c r="H191" s="466"/>
      <c r="I191" s="477"/>
      <c r="J191" s="616"/>
      <c r="K191" s="1670">
        <f t="shared" si="18"/>
        <v>0</v>
      </c>
      <c r="L191" s="466">
        <v>0</v>
      </c>
    </row>
    <row r="192" spans="1:14" x14ac:dyDescent="0.2">
      <c r="A192" s="1504" t="s">
        <v>86</v>
      </c>
      <c r="B192" s="614">
        <v>4170</v>
      </c>
      <c r="C192" s="616"/>
      <c r="D192" s="616"/>
      <c r="E192" s="466"/>
      <c r="F192" s="616"/>
      <c r="G192" s="616"/>
      <c r="H192" s="466"/>
      <c r="I192" s="477"/>
      <c r="J192" s="616"/>
      <c r="K192" s="1670">
        <f t="shared" si="18"/>
        <v>0</v>
      </c>
      <c r="L192" s="466">
        <v>0</v>
      </c>
    </row>
    <row r="193" spans="1:14" x14ac:dyDescent="0.2">
      <c r="A193" s="1508" t="s">
        <v>698</v>
      </c>
      <c r="B193" s="628">
        <v>4190</v>
      </c>
      <c r="C193" s="616"/>
      <c r="D193" s="616"/>
      <c r="E193" s="466"/>
      <c r="F193" s="616"/>
      <c r="G193" s="616"/>
      <c r="H193" s="466"/>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v>0</v>
      </c>
    </row>
    <row r="200" spans="1:14" x14ac:dyDescent="0.2">
      <c r="A200" s="1504" t="s">
        <v>88</v>
      </c>
      <c r="B200" s="614">
        <v>5120</v>
      </c>
      <c r="C200" s="616"/>
      <c r="D200" s="616"/>
      <c r="E200" s="616"/>
      <c r="F200" s="616"/>
      <c r="G200" s="616"/>
      <c r="H200" s="466"/>
      <c r="I200" s="616"/>
      <c r="J200" s="616"/>
      <c r="K200" s="1670">
        <f>SUM(H200)</f>
        <v>0</v>
      </c>
      <c r="L200" s="466">
        <v>0</v>
      </c>
    </row>
    <row r="201" spans="1:14" ht="12.75" customHeight="1" x14ac:dyDescent="0.2">
      <c r="A201" s="1504" t="s">
        <v>1170</v>
      </c>
      <c r="B201" s="628" t="s">
        <v>617</v>
      </c>
      <c r="C201" s="616"/>
      <c r="D201" s="616"/>
      <c r="E201" s="616"/>
      <c r="F201" s="616"/>
      <c r="G201" s="616"/>
      <c r="H201" s="466"/>
      <c r="I201" s="616"/>
      <c r="J201" s="616"/>
      <c r="K201" s="1670">
        <f>SUM(H201)</f>
        <v>0</v>
      </c>
      <c r="L201" s="466">
        <v>0</v>
      </c>
    </row>
    <row r="202" spans="1:14" x14ac:dyDescent="0.2">
      <c r="A202" s="1504" t="s">
        <v>89</v>
      </c>
      <c r="B202" s="614" t="s">
        <v>589</v>
      </c>
      <c r="C202" s="616"/>
      <c r="D202" s="616"/>
      <c r="E202" s="616"/>
      <c r="F202" s="616"/>
      <c r="G202" s="616"/>
      <c r="H202" s="466"/>
      <c r="I202" s="616"/>
      <c r="J202" s="616"/>
      <c r="K202" s="1670">
        <f>SUM(H202)</f>
        <v>0</v>
      </c>
      <c r="L202" s="466">
        <v>0</v>
      </c>
    </row>
    <row r="203" spans="1:14" x14ac:dyDescent="0.2">
      <c r="A203" s="1516" t="s">
        <v>619</v>
      </c>
      <c r="B203" s="614" t="s">
        <v>618</v>
      </c>
      <c r="C203" s="616"/>
      <c r="D203" s="616"/>
      <c r="E203" s="616"/>
      <c r="F203" s="616"/>
      <c r="G203" s="616"/>
      <c r="H203" s="471"/>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1671</v>
      </c>
      <c r="B206" s="672" t="s">
        <v>31</v>
      </c>
      <c r="C206" s="616"/>
      <c r="D206" s="616"/>
      <c r="E206" s="616"/>
      <c r="F206" s="616"/>
      <c r="G206" s="616"/>
      <c r="H206" s="466"/>
      <c r="I206" s="616"/>
      <c r="J206" s="616"/>
      <c r="K206" s="1670">
        <f>SUM(H206)</f>
        <v>0</v>
      </c>
      <c r="L206" s="466">
        <v>0</v>
      </c>
    </row>
    <row r="207" spans="1:14" ht="15.75" customHeight="1" x14ac:dyDescent="0.2">
      <c r="A207" s="621" t="s">
        <v>766</v>
      </c>
      <c r="B207" s="672" t="s">
        <v>84</v>
      </c>
      <c r="C207" s="616"/>
      <c r="D207" s="616"/>
      <c r="E207" s="616"/>
      <c r="F207" s="616"/>
      <c r="G207" s="616"/>
      <c r="H207" s="467"/>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70">
        <f>SUM(K184,K185,K196,K208,K209)</f>
        <v>0</v>
      </c>
      <c r="L210" s="1669">
        <f>SUM(L184,L185,L196,L208,L209)</f>
        <v>0</v>
      </c>
    </row>
    <row r="211" spans="1:14" ht="13.5" thickTop="1" x14ac:dyDescent="0.2">
      <c r="A211" s="2154" t="s">
        <v>996</v>
      </c>
      <c r="B211" s="2155"/>
      <c r="C211" s="618"/>
      <c r="D211" s="618"/>
      <c r="E211" s="618"/>
      <c r="F211" s="618"/>
      <c r="G211" s="618"/>
      <c r="H211" s="618"/>
      <c r="I211" s="616"/>
      <c r="J211" s="616"/>
      <c r="K211" s="1683">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0">
        <f>D215</f>
        <v>0</v>
      </c>
      <c r="L215" s="466">
        <v>0</v>
      </c>
    </row>
    <row r="216" spans="1:14" x14ac:dyDescent="0.2">
      <c r="A216" s="1504" t="s">
        <v>163</v>
      </c>
      <c r="B216" s="614" t="s">
        <v>967</v>
      </c>
      <c r="C216" s="616"/>
      <c r="D216" s="467"/>
      <c r="E216" s="616"/>
      <c r="F216" s="616"/>
      <c r="G216" s="616"/>
      <c r="H216" s="616"/>
      <c r="I216" s="616"/>
      <c r="J216" s="616"/>
      <c r="K216" s="1670">
        <f t="shared" ref="K216:K228" si="19">D216</f>
        <v>0</v>
      </c>
      <c r="L216" s="466">
        <v>0</v>
      </c>
    </row>
    <row r="217" spans="1:14" x14ac:dyDescent="0.2">
      <c r="A217" s="1504" t="s">
        <v>164</v>
      </c>
      <c r="B217" s="614">
        <v>1200</v>
      </c>
      <c r="C217" s="616"/>
      <c r="D217" s="466"/>
      <c r="E217" s="616"/>
      <c r="F217" s="616"/>
      <c r="G217" s="616"/>
      <c r="H217" s="616"/>
      <c r="I217" s="616"/>
      <c r="J217" s="616"/>
      <c r="K217" s="1670">
        <f t="shared" si="19"/>
        <v>0</v>
      </c>
      <c r="L217" s="466">
        <v>0</v>
      </c>
    </row>
    <row r="218" spans="1:14" x14ac:dyDescent="0.2">
      <c r="A218" s="1504" t="s">
        <v>278</v>
      </c>
      <c r="B218" s="614" t="s">
        <v>968</v>
      </c>
      <c r="C218" s="616"/>
      <c r="D218" s="467"/>
      <c r="E218" s="616"/>
      <c r="F218" s="616"/>
      <c r="G218" s="616"/>
      <c r="H218" s="616"/>
      <c r="I218" s="616"/>
      <c r="J218" s="616"/>
      <c r="K218" s="1670">
        <f t="shared" si="19"/>
        <v>0</v>
      </c>
      <c r="L218" s="466">
        <v>0</v>
      </c>
    </row>
    <row r="219" spans="1:14" x14ac:dyDescent="0.2">
      <c r="A219" s="1504" t="s">
        <v>279</v>
      </c>
      <c r="B219" s="614">
        <v>1250</v>
      </c>
      <c r="C219" s="616"/>
      <c r="D219" s="466"/>
      <c r="E219" s="616"/>
      <c r="F219" s="616"/>
      <c r="G219" s="616"/>
      <c r="H219" s="616"/>
      <c r="I219" s="616"/>
      <c r="J219" s="616"/>
      <c r="K219" s="1670">
        <f t="shared" si="19"/>
        <v>0</v>
      </c>
      <c r="L219" s="466">
        <v>0</v>
      </c>
    </row>
    <row r="220" spans="1:14" x14ac:dyDescent="0.2">
      <c r="A220" s="1504" t="s">
        <v>280</v>
      </c>
      <c r="B220" s="614" t="s">
        <v>161</v>
      </c>
      <c r="C220" s="616"/>
      <c r="D220" s="467"/>
      <c r="E220" s="616"/>
      <c r="F220" s="616"/>
      <c r="G220" s="616"/>
      <c r="H220" s="616"/>
      <c r="I220" s="616"/>
      <c r="J220" s="616"/>
      <c r="K220" s="1670">
        <f t="shared" si="19"/>
        <v>0</v>
      </c>
      <c r="L220" s="466">
        <v>0</v>
      </c>
    </row>
    <row r="221" spans="1:14" x14ac:dyDescent="0.2">
      <c r="A221" s="1504" t="s">
        <v>962</v>
      </c>
      <c r="B221" s="614">
        <v>1300</v>
      </c>
      <c r="C221" s="616"/>
      <c r="D221" s="466"/>
      <c r="E221" s="616"/>
      <c r="F221" s="616"/>
      <c r="G221" s="616"/>
      <c r="H221" s="616"/>
      <c r="I221" s="616"/>
      <c r="J221" s="616"/>
      <c r="K221" s="1670">
        <f t="shared" si="19"/>
        <v>0</v>
      </c>
      <c r="L221" s="466">
        <v>0</v>
      </c>
    </row>
    <row r="222" spans="1:14" x14ac:dyDescent="0.2">
      <c r="A222" s="1504" t="s">
        <v>723</v>
      </c>
      <c r="B222" s="614">
        <v>1400</v>
      </c>
      <c r="C222" s="616"/>
      <c r="D222" s="466"/>
      <c r="E222" s="616"/>
      <c r="F222" s="616"/>
      <c r="G222" s="616"/>
      <c r="H222" s="616"/>
      <c r="I222" s="616"/>
      <c r="J222" s="616"/>
      <c r="K222" s="1670">
        <f t="shared" si="19"/>
        <v>0</v>
      </c>
      <c r="L222" s="466">
        <v>0</v>
      </c>
    </row>
    <row r="223" spans="1:14" x14ac:dyDescent="0.2">
      <c r="A223" s="1504" t="s">
        <v>963</v>
      </c>
      <c r="B223" s="614">
        <v>1500</v>
      </c>
      <c r="C223" s="616"/>
      <c r="D223" s="466"/>
      <c r="E223" s="616"/>
      <c r="F223" s="616"/>
      <c r="G223" s="616"/>
      <c r="H223" s="616"/>
      <c r="I223" s="616"/>
      <c r="J223" s="616"/>
      <c r="K223" s="1670">
        <f t="shared" si="19"/>
        <v>0</v>
      </c>
      <c r="L223" s="466">
        <v>0</v>
      </c>
    </row>
    <row r="224" spans="1:14" x14ac:dyDescent="0.2">
      <c r="A224" s="1504" t="s">
        <v>964</v>
      </c>
      <c r="B224" s="614">
        <v>1600</v>
      </c>
      <c r="C224" s="616"/>
      <c r="D224" s="466"/>
      <c r="E224" s="616"/>
      <c r="F224" s="616"/>
      <c r="G224" s="616"/>
      <c r="H224" s="616"/>
      <c r="I224" s="616"/>
      <c r="J224" s="616"/>
      <c r="K224" s="1670">
        <f t="shared" si="19"/>
        <v>0</v>
      </c>
      <c r="L224" s="466">
        <v>0</v>
      </c>
    </row>
    <row r="225" spans="1:12" x14ac:dyDescent="0.2">
      <c r="A225" s="1504" t="s">
        <v>987</v>
      </c>
      <c r="B225" s="614">
        <v>1650</v>
      </c>
      <c r="C225" s="616"/>
      <c r="D225" s="466"/>
      <c r="E225" s="616"/>
      <c r="F225" s="616"/>
      <c r="G225" s="616"/>
      <c r="H225" s="616"/>
      <c r="I225" s="616"/>
      <c r="J225" s="616"/>
      <c r="K225" s="1670">
        <f t="shared" si="19"/>
        <v>0</v>
      </c>
      <c r="L225" s="466">
        <v>0</v>
      </c>
    </row>
    <row r="226" spans="1:12" x14ac:dyDescent="0.2">
      <c r="A226" s="1504" t="s">
        <v>724</v>
      </c>
      <c r="B226" s="614" t="s">
        <v>162</v>
      </c>
      <c r="C226" s="616"/>
      <c r="D226" s="467"/>
      <c r="E226" s="616"/>
      <c r="F226" s="616"/>
      <c r="G226" s="616"/>
      <c r="H226" s="616"/>
      <c r="I226" s="616"/>
      <c r="J226" s="616"/>
      <c r="K226" s="1670">
        <f t="shared" si="19"/>
        <v>0</v>
      </c>
      <c r="L226" s="466">
        <v>0</v>
      </c>
    </row>
    <row r="227" spans="1:12" x14ac:dyDescent="0.2">
      <c r="A227" s="1504" t="s">
        <v>1087</v>
      </c>
      <c r="B227" s="614">
        <v>1800</v>
      </c>
      <c r="C227" s="616"/>
      <c r="D227" s="466"/>
      <c r="E227" s="616"/>
      <c r="F227" s="616"/>
      <c r="G227" s="616"/>
      <c r="H227" s="616"/>
      <c r="I227" s="616"/>
      <c r="J227" s="616"/>
      <c r="K227" s="1670">
        <f t="shared" si="19"/>
        <v>0</v>
      </c>
      <c r="L227" s="466">
        <v>0</v>
      </c>
    </row>
    <row r="228" spans="1:12" x14ac:dyDescent="0.2">
      <c r="A228" s="1504" t="s">
        <v>1088</v>
      </c>
      <c r="B228" s="614">
        <v>1900</v>
      </c>
      <c r="C228" s="616"/>
      <c r="D228" s="466"/>
      <c r="E228" s="616"/>
      <c r="F228" s="616"/>
      <c r="G228" s="616"/>
      <c r="H228" s="616"/>
      <c r="I228" s="616"/>
      <c r="J228" s="616"/>
      <c r="K228" s="1670">
        <f t="shared" si="19"/>
        <v>0</v>
      </c>
      <c r="L228" s="466">
        <v>0</v>
      </c>
    </row>
    <row r="229" spans="1:12" ht="12.75" customHeight="1" thickBot="1" x14ac:dyDescent="0.25">
      <c r="A229" s="1667" t="s">
        <v>715</v>
      </c>
      <c r="B229" s="1674" t="s">
        <v>570</v>
      </c>
      <c r="C229" s="616"/>
      <c r="D229" s="1669">
        <f>SUM(D215:D228)</f>
        <v>0</v>
      </c>
      <c r="E229" s="616"/>
      <c r="F229" s="616"/>
      <c r="G229" s="616"/>
      <c r="H229" s="616"/>
      <c r="I229" s="616"/>
      <c r="J229" s="616"/>
      <c r="K229" s="1669">
        <f>SUM(K215:K228)</f>
        <v>0</v>
      </c>
      <c r="L229" s="1669">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v>0</v>
      </c>
    </row>
    <row r="233" spans="1:12" x14ac:dyDescent="0.2">
      <c r="A233" s="1504" t="s">
        <v>1090</v>
      </c>
      <c r="B233" s="614">
        <v>2120</v>
      </c>
      <c r="C233" s="616"/>
      <c r="D233" s="466"/>
      <c r="E233" s="616"/>
      <c r="F233" s="616"/>
      <c r="G233" s="616"/>
      <c r="H233" s="616"/>
      <c r="I233" s="616"/>
      <c r="J233" s="616"/>
      <c r="K233" s="1670">
        <f t="shared" si="20"/>
        <v>0</v>
      </c>
      <c r="L233" s="466">
        <v>0</v>
      </c>
    </row>
    <row r="234" spans="1:12" x14ac:dyDescent="0.2">
      <c r="A234" s="1504" t="s">
        <v>198</v>
      </c>
      <c r="B234" s="614">
        <v>2130</v>
      </c>
      <c r="C234" s="616"/>
      <c r="D234" s="466"/>
      <c r="E234" s="616"/>
      <c r="F234" s="616"/>
      <c r="G234" s="616"/>
      <c r="H234" s="616"/>
      <c r="I234" s="616"/>
      <c r="J234" s="616"/>
      <c r="K234" s="1670">
        <f t="shared" si="20"/>
        <v>0</v>
      </c>
      <c r="L234" s="466">
        <v>0</v>
      </c>
    </row>
    <row r="235" spans="1:12" x14ac:dyDescent="0.2">
      <c r="A235" s="1504" t="s">
        <v>199</v>
      </c>
      <c r="B235" s="614">
        <v>2140</v>
      </c>
      <c r="C235" s="616"/>
      <c r="D235" s="466"/>
      <c r="E235" s="616"/>
      <c r="F235" s="616"/>
      <c r="G235" s="616"/>
      <c r="H235" s="616"/>
      <c r="I235" s="616"/>
      <c r="J235" s="616"/>
      <c r="K235" s="1670">
        <f t="shared" si="20"/>
        <v>0</v>
      </c>
      <c r="L235" s="466">
        <v>0</v>
      </c>
    </row>
    <row r="236" spans="1:12" x14ac:dyDescent="0.2">
      <c r="A236" s="1504" t="s">
        <v>200</v>
      </c>
      <c r="B236" s="614">
        <v>2150</v>
      </c>
      <c r="C236" s="616"/>
      <c r="D236" s="466"/>
      <c r="E236" s="616"/>
      <c r="F236" s="616"/>
      <c r="G236" s="616"/>
      <c r="H236" s="616"/>
      <c r="I236" s="616"/>
      <c r="J236" s="616"/>
      <c r="K236" s="1670">
        <f t="shared" si="20"/>
        <v>0</v>
      </c>
      <c r="L236" s="466">
        <v>0</v>
      </c>
    </row>
    <row r="237" spans="1:12" x14ac:dyDescent="0.2">
      <c r="A237" s="1504" t="s">
        <v>165</v>
      </c>
      <c r="B237" s="614">
        <v>2190</v>
      </c>
      <c r="C237" s="616"/>
      <c r="D237" s="466"/>
      <c r="E237" s="616"/>
      <c r="F237" s="616"/>
      <c r="G237" s="616"/>
      <c r="H237" s="616"/>
      <c r="I237" s="616"/>
      <c r="J237" s="616"/>
      <c r="K237" s="1670">
        <f t="shared" si="20"/>
        <v>0</v>
      </c>
      <c r="L237" s="466">
        <v>0</v>
      </c>
    </row>
    <row r="238" spans="1:12" ht="12.75" customHeight="1" thickBot="1" x14ac:dyDescent="0.25">
      <c r="A238" s="1667" t="s">
        <v>560</v>
      </c>
      <c r="B238" s="1674" t="s">
        <v>716</v>
      </c>
      <c r="C238" s="616"/>
      <c r="D238" s="1669">
        <f>SUM(D232:D237)</f>
        <v>0</v>
      </c>
      <c r="E238" s="616"/>
      <c r="F238" s="616"/>
      <c r="G238" s="616"/>
      <c r="H238" s="616"/>
      <c r="I238" s="616"/>
      <c r="J238" s="616"/>
      <c r="K238" s="1669">
        <f>SUM(K232:K237)</f>
        <v>0</v>
      </c>
      <c r="L238" s="1669">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1">
        <f>D240</f>
        <v>0</v>
      </c>
      <c r="L240" s="481">
        <v>0</v>
      </c>
    </row>
    <row r="241" spans="1:12" x14ac:dyDescent="0.2">
      <c r="A241" s="1504" t="s">
        <v>815</v>
      </c>
      <c r="B241" s="614">
        <v>2220</v>
      </c>
      <c r="C241" s="616"/>
      <c r="D241" s="466"/>
      <c r="E241" s="616"/>
      <c r="F241" s="616"/>
      <c r="G241" s="616"/>
      <c r="H241" s="616"/>
      <c r="I241" s="616"/>
      <c r="J241" s="616"/>
      <c r="K241" s="1671">
        <f>D241</f>
        <v>0</v>
      </c>
      <c r="L241" s="466">
        <v>0</v>
      </c>
    </row>
    <row r="242" spans="1:12" x14ac:dyDescent="0.2">
      <c r="A242" s="1504" t="s">
        <v>816</v>
      </c>
      <c r="B242" s="614">
        <v>2230</v>
      </c>
      <c r="C242" s="616"/>
      <c r="D242" s="466"/>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v>0</v>
      </c>
    </row>
    <row r="246" spans="1:12" x14ac:dyDescent="0.2">
      <c r="A246" s="1504" t="s">
        <v>818</v>
      </c>
      <c r="B246" s="614">
        <v>2320</v>
      </c>
      <c r="C246" s="616"/>
      <c r="D246" s="466"/>
      <c r="E246" s="616"/>
      <c r="F246" s="616"/>
      <c r="G246" s="616"/>
      <c r="H246" s="616"/>
      <c r="I246" s="616"/>
      <c r="J246" s="616"/>
      <c r="K246" s="1671">
        <f t="shared" ref="K246:K256" si="21">D246</f>
        <v>0</v>
      </c>
      <c r="L246" s="466">
        <v>0</v>
      </c>
    </row>
    <row r="247" spans="1:12" x14ac:dyDescent="0.2">
      <c r="A247" s="1504" t="s">
        <v>819</v>
      </c>
      <c r="B247" s="614">
        <v>2330</v>
      </c>
      <c r="C247" s="616"/>
      <c r="D247" s="466"/>
      <c r="E247" s="616"/>
      <c r="F247" s="616"/>
      <c r="G247" s="616"/>
      <c r="H247" s="616"/>
      <c r="I247" s="616"/>
      <c r="J247" s="616"/>
      <c r="K247" s="1671">
        <f t="shared" si="21"/>
        <v>0</v>
      </c>
      <c r="L247" s="466">
        <v>0</v>
      </c>
    </row>
    <row r="248" spans="1:12" x14ac:dyDescent="0.2">
      <c r="A248" s="1505" t="s">
        <v>299</v>
      </c>
      <c r="B248" s="602" t="s">
        <v>281</v>
      </c>
      <c r="C248" s="616"/>
      <c r="D248" s="474"/>
      <c r="E248" s="616"/>
      <c r="F248" s="616"/>
      <c r="G248" s="616"/>
      <c r="H248" s="616"/>
      <c r="I248" s="616"/>
      <c r="J248" s="616"/>
      <c r="K248" s="1671">
        <f t="shared" si="21"/>
        <v>0</v>
      </c>
      <c r="L248" s="466">
        <v>0</v>
      </c>
    </row>
    <row r="249" spans="1:12" x14ac:dyDescent="0.2">
      <c r="A249" s="1506" t="s">
        <v>1802</v>
      </c>
      <c r="B249" s="683" t="s">
        <v>282</v>
      </c>
      <c r="C249" s="616"/>
      <c r="D249" s="474"/>
      <c r="E249" s="616"/>
      <c r="F249" s="616"/>
      <c r="G249" s="616"/>
      <c r="H249" s="616"/>
      <c r="I249" s="616"/>
      <c r="J249" s="616"/>
      <c r="K249" s="1671">
        <f t="shared" si="21"/>
        <v>0</v>
      </c>
      <c r="L249" s="466">
        <v>0</v>
      </c>
    </row>
    <row r="250" spans="1:12" x14ac:dyDescent="0.2">
      <c r="A250" s="1505" t="s">
        <v>1803</v>
      </c>
      <c r="B250" s="602" t="s">
        <v>283</v>
      </c>
      <c r="C250" s="616"/>
      <c r="D250" s="474"/>
      <c r="E250" s="616"/>
      <c r="F250" s="616"/>
      <c r="G250" s="616"/>
      <c r="H250" s="616"/>
      <c r="I250" s="616"/>
      <c r="J250" s="616"/>
      <c r="K250" s="1671">
        <f t="shared" si="21"/>
        <v>0</v>
      </c>
      <c r="L250" s="466">
        <v>0</v>
      </c>
    </row>
    <row r="251" spans="1:12" x14ac:dyDescent="0.2">
      <c r="A251" s="1505" t="s">
        <v>238</v>
      </c>
      <c r="B251" s="602" t="s">
        <v>284</v>
      </c>
      <c r="C251" s="616"/>
      <c r="D251" s="474"/>
      <c r="E251" s="616"/>
      <c r="F251" s="616"/>
      <c r="G251" s="616"/>
      <c r="H251" s="616"/>
      <c r="I251" s="616"/>
      <c r="J251" s="616"/>
      <c r="K251" s="1671">
        <f t="shared" si="21"/>
        <v>0</v>
      </c>
      <c r="L251" s="466">
        <v>0</v>
      </c>
    </row>
    <row r="252" spans="1:12" x14ac:dyDescent="0.2">
      <c r="A252" s="1505" t="s">
        <v>702</v>
      </c>
      <c r="B252" s="602" t="s">
        <v>285</v>
      </c>
      <c r="C252" s="616"/>
      <c r="D252" s="474"/>
      <c r="E252" s="616"/>
      <c r="F252" s="616"/>
      <c r="G252" s="616"/>
      <c r="H252" s="616"/>
      <c r="I252" s="616"/>
      <c r="J252" s="616"/>
      <c r="K252" s="1671">
        <f t="shared" si="21"/>
        <v>0</v>
      </c>
      <c r="L252" s="466">
        <v>0</v>
      </c>
    </row>
    <row r="253" spans="1:12" x14ac:dyDescent="0.2">
      <c r="A253" s="1505" t="s">
        <v>239</v>
      </c>
      <c r="B253" s="602" t="s">
        <v>286</v>
      </c>
      <c r="C253" s="616"/>
      <c r="D253" s="474"/>
      <c r="E253" s="616"/>
      <c r="F253" s="616"/>
      <c r="G253" s="616"/>
      <c r="H253" s="616"/>
      <c r="I253" s="616"/>
      <c r="J253" s="616"/>
      <c r="K253" s="1671">
        <f t="shared" si="21"/>
        <v>0</v>
      </c>
      <c r="L253" s="466">
        <v>0</v>
      </c>
    </row>
    <row r="254" spans="1:12" ht="22.5" x14ac:dyDescent="0.2">
      <c r="A254" s="1505" t="s">
        <v>1029</v>
      </c>
      <c r="B254" s="683" t="s">
        <v>287</v>
      </c>
      <c r="C254" s="616"/>
      <c r="D254" s="474"/>
      <c r="E254" s="616"/>
      <c r="F254" s="616"/>
      <c r="G254" s="616"/>
      <c r="H254" s="616"/>
      <c r="I254" s="616"/>
      <c r="J254" s="616"/>
      <c r="K254" s="1671">
        <f t="shared" si="21"/>
        <v>0</v>
      </c>
      <c r="L254" s="466">
        <v>0</v>
      </c>
    </row>
    <row r="255" spans="1:12" x14ac:dyDescent="0.2">
      <c r="A255" s="1505" t="s">
        <v>1030</v>
      </c>
      <c r="B255" s="602" t="s">
        <v>288</v>
      </c>
      <c r="C255" s="616"/>
      <c r="D255" s="474"/>
      <c r="E255" s="616"/>
      <c r="F255" s="616"/>
      <c r="G255" s="616"/>
      <c r="H255" s="616"/>
      <c r="I255" s="616"/>
      <c r="J255" s="616"/>
      <c r="K255" s="1671">
        <f t="shared" si="21"/>
        <v>0</v>
      </c>
      <c r="L255" s="466">
        <v>0</v>
      </c>
    </row>
    <row r="256" spans="1:12" x14ac:dyDescent="0.2">
      <c r="A256" s="1505" t="s">
        <v>971</v>
      </c>
      <c r="B256" s="614" t="s">
        <v>289</v>
      </c>
      <c r="C256" s="616"/>
      <c r="D256" s="474"/>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0</v>
      </c>
      <c r="E257" s="616"/>
      <c r="F257" s="616"/>
      <c r="G257" s="616"/>
      <c r="H257" s="616"/>
      <c r="I257" s="616"/>
      <c r="J257" s="616"/>
      <c r="K257" s="1669">
        <f>SUM(K245:K256)</f>
        <v>0</v>
      </c>
      <c r="L257" s="1669">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1">
        <f>D259</f>
        <v>0</v>
      </c>
      <c r="L259" s="481">
        <v>0</v>
      </c>
    </row>
    <row r="260" spans="1:14" s="597" customFormat="1" x14ac:dyDescent="0.2">
      <c r="A260" s="1522" t="s">
        <v>1801</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0</v>
      </c>
      <c r="E261" s="616"/>
      <c r="F261" s="616"/>
      <c r="G261" s="616"/>
      <c r="H261" s="616"/>
      <c r="I261" s="616"/>
      <c r="J261" s="616"/>
      <c r="K261" s="1669">
        <f>SUM(K259:K260)</f>
        <v>0</v>
      </c>
      <c r="L261" s="1669">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v>0</v>
      </c>
    </row>
    <row r="264" spans="1:14" x14ac:dyDescent="0.2">
      <c r="A264" s="1504" t="s">
        <v>463</v>
      </c>
      <c r="B264" s="685">
        <v>2520</v>
      </c>
      <c r="C264" s="616"/>
      <c r="D264" s="466"/>
      <c r="E264" s="616"/>
      <c r="F264" s="616"/>
      <c r="G264" s="616"/>
      <c r="H264" s="616"/>
      <c r="I264" s="616"/>
      <c r="J264" s="616"/>
      <c r="K264" s="1671">
        <f t="shared" ref="K264:K269" si="22">D264</f>
        <v>0</v>
      </c>
      <c r="L264" s="466">
        <v>0</v>
      </c>
    </row>
    <row r="265" spans="1:14" x14ac:dyDescent="0.2">
      <c r="A265" s="1504" t="s">
        <v>4</v>
      </c>
      <c r="B265" s="614">
        <v>2530</v>
      </c>
      <c r="C265" s="616"/>
      <c r="D265" s="466"/>
      <c r="E265" s="616"/>
      <c r="F265" s="616"/>
      <c r="G265" s="616"/>
      <c r="H265" s="616"/>
      <c r="I265" s="616"/>
      <c r="J265" s="616"/>
      <c r="K265" s="1671">
        <f t="shared" si="22"/>
        <v>0</v>
      </c>
      <c r="L265" s="466">
        <v>0</v>
      </c>
    </row>
    <row r="266" spans="1:14" x14ac:dyDescent="0.2">
      <c r="A266" s="1504" t="s">
        <v>197</v>
      </c>
      <c r="B266" s="614">
        <v>2540</v>
      </c>
      <c r="C266" s="616"/>
      <c r="D266" s="466"/>
      <c r="E266" s="616"/>
      <c r="F266" s="616"/>
      <c r="G266" s="616"/>
      <c r="H266" s="616"/>
      <c r="I266" s="616"/>
      <c r="J266" s="616"/>
      <c r="K266" s="1671">
        <f t="shared" si="22"/>
        <v>0</v>
      </c>
      <c r="L266" s="466">
        <v>0</v>
      </c>
    </row>
    <row r="267" spans="1:14" x14ac:dyDescent="0.2">
      <c r="A267" s="1504" t="s">
        <v>953</v>
      </c>
      <c r="B267" s="614">
        <v>2550</v>
      </c>
      <c r="C267" s="616"/>
      <c r="D267" s="466"/>
      <c r="E267" s="616"/>
      <c r="F267" s="616"/>
      <c r="G267" s="616"/>
      <c r="H267" s="616"/>
      <c r="I267" s="616"/>
      <c r="J267" s="616"/>
      <c r="K267" s="1671">
        <f t="shared" si="22"/>
        <v>0</v>
      </c>
      <c r="L267" s="466">
        <v>0</v>
      </c>
    </row>
    <row r="268" spans="1:14" x14ac:dyDescent="0.2">
      <c r="A268" s="1504" t="s">
        <v>100</v>
      </c>
      <c r="B268" s="614">
        <v>2560</v>
      </c>
      <c r="C268" s="616"/>
      <c r="D268" s="466"/>
      <c r="E268" s="616"/>
      <c r="F268" s="616"/>
      <c r="G268" s="616"/>
      <c r="H268" s="616"/>
      <c r="I268" s="616"/>
      <c r="J268" s="616"/>
      <c r="K268" s="1671">
        <f t="shared" si="22"/>
        <v>0</v>
      </c>
      <c r="L268" s="466">
        <v>0</v>
      </c>
    </row>
    <row r="269" spans="1:14" x14ac:dyDescent="0.2">
      <c r="A269" s="1504"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0</v>
      </c>
      <c r="E270" s="616"/>
      <c r="F270" s="616"/>
      <c r="G270" s="616"/>
      <c r="H270" s="616"/>
      <c r="I270" s="616"/>
      <c r="J270" s="616"/>
      <c r="K270" s="1669">
        <f>SUM(K263:K269)</f>
        <v>0</v>
      </c>
      <c r="L270" s="1669">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v>0</v>
      </c>
    </row>
    <row r="273" spans="1:12" x14ac:dyDescent="0.2">
      <c r="A273" s="1504" t="s">
        <v>607</v>
      </c>
      <c r="B273" s="628">
        <v>2620</v>
      </c>
      <c r="C273" s="616"/>
      <c r="D273" s="466"/>
      <c r="E273" s="616"/>
      <c r="F273" s="616"/>
      <c r="G273" s="616"/>
      <c r="H273" s="616"/>
      <c r="I273" s="616"/>
      <c r="J273" s="616"/>
      <c r="K273" s="1671">
        <f>D273</f>
        <v>0</v>
      </c>
      <c r="L273" s="466">
        <v>0</v>
      </c>
    </row>
    <row r="274" spans="1:12" ht="12" customHeight="1" x14ac:dyDescent="0.2">
      <c r="A274" s="1504" t="s">
        <v>1061</v>
      </c>
      <c r="B274" s="614">
        <v>2630</v>
      </c>
      <c r="C274" s="616"/>
      <c r="D274" s="466"/>
      <c r="E274" s="616"/>
      <c r="F274" s="616"/>
      <c r="G274" s="616"/>
      <c r="H274" s="616"/>
      <c r="I274" s="616"/>
      <c r="J274" s="616"/>
      <c r="K274" s="1671">
        <f>D274</f>
        <v>0</v>
      </c>
      <c r="L274" s="466">
        <v>0</v>
      </c>
    </row>
    <row r="275" spans="1:12" x14ac:dyDescent="0.2">
      <c r="A275" s="1504" t="s">
        <v>403</v>
      </c>
      <c r="B275" s="614">
        <v>2640</v>
      </c>
      <c r="C275" s="616"/>
      <c r="D275" s="466"/>
      <c r="E275" s="616"/>
      <c r="F275" s="616"/>
      <c r="G275" s="616"/>
      <c r="H275" s="616"/>
      <c r="I275" s="616"/>
      <c r="J275" s="616"/>
      <c r="K275" s="1671">
        <f>D275</f>
        <v>0</v>
      </c>
      <c r="L275" s="466">
        <v>0</v>
      </c>
    </row>
    <row r="276" spans="1:12" x14ac:dyDescent="0.2">
      <c r="A276" s="1504" t="s">
        <v>404</v>
      </c>
      <c r="B276" s="614">
        <v>2660</v>
      </c>
      <c r="C276" s="616"/>
      <c r="D276" s="466"/>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0</v>
      </c>
      <c r="E279" s="616"/>
      <c r="F279" s="616"/>
      <c r="G279" s="616"/>
      <c r="H279" s="616"/>
      <c r="I279" s="616"/>
      <c r="J279" s="616"/>
      <c r="K279" s="1676">
        <f>SUM(K238,K243,K257,K261,K270,K277,K278)</f>
        <v>0</v>
      </c>
      <c r="L279" s="1676">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8">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1841</v>
      </c>
      <c r="C282" s="616"/>
      <c r="D282" s="467"/>
      <c r="E282" s="616"/>
      <c r="F282" s="616"/>
      <c r="G282" s="616"/>
      <c r="H282" s="616"/>
      <c r="I282" s="616"/>
      <c r="J282" s="616"/>
      <c r="K282" s="1670">
        <f>D282</f>
        <v>0</v>
      </c>
      <c r="L282" s="467">
        <v>0</v>
      </c>
    </row>
    <row r="283" spans="1:12" x14ac:dyDescent="0.2">
      <c r="A283" s="1504" t="s">
        <v>304</v>
      </c>
      <c r="B283" s="614">
        <v>4120</v>
      </c>
      <c r="C283" s="616"/>
      <c r="D283" s="466"/>
      <c r="E283" s="616"/>
      <c r="F283" s="616"/>
      <c r="G283" s="616"/>
      <c r="H283" s="616"/>
      <c r="I283" s="616"/>
      <c r="J283" s="616"/>
      <c r="K283" s="1670">
        <f>D283</f>
        <v>0</v>
      </c>
      <c r="L283" s="466">
        <v>0</v>
      </c>
    </row>
    <row r="284" spans="1:12" x14ac:dyDescent="0.2">
      <c r="A284" s="1504" t="s">
        <v>697</v>
      </c>
      <c r="B284" s="614">
        <v>4140</v>
      </c>
      <c r="C284" s="616"/>
      <c r="D284" s="467"/>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v>0</v>
      </c>
    </row>
    <row r="289" spans="1:14" x14ac:dyDescent="0.2">
      <c r="A289" s="1504" t="s">
        <v>88</v>
      </c>
      <c r="B289" s="614">
        <v>5120</v>
      </c>
      <c r="C289" s="616"/>
      <c r="D289" s="616"/>
      <c r="E289" s="616"/>
      <c r="F289" s="616"/>
      <c r="G289" s="616"/>
      <c r="H289" s="466"/>
      <c r="I289" s="616"/>
      <c r="J289" s="616"/>
      <c r="K289" s="1670">
        <f>H289</f>
        <v>0</v>
      </c>
      <c r="L289" s="466">
        <v>0</v>
      </c>
    </row>
    <row r="290" spans="1:14" ht="12.75" customHeight="1" x14ac:dyDescent="0.2">
      <c r="A290" s="1504" t="s">
        <v>1170</v>
      </c>
      <c r="B290" s="628" t="s">
        <v>617</v>
      </c>
      <c r="C290" s="616"/>
      <c r="D290" s="616"/>
      <c r="E290" s="616"/>
      <c r="F290" s="616"/>
      <c r="G290" s="616"/>
      <c r="H290" s="466"/>
      <c r="I290" s="616"/>
      <c r="J290" s="616"/>
      <c r="K290" s="1670">
        <f>H290</f>
        <v>0</v>
      </c>
      <c r="L290" s="466">
        <v>0</v>
      </c>
    </row>
    <row r="291" spans="1:14" x14ac:dyDescent="0.2">
      <c r="A291" s="1504" t="s">
        <v>89</v>
      </c>
      <c r="B291" s="614" t="s">
        <v>589</v>
      </c>
      <c r="C291" s="616"/>
      <c r="D291" s="616"/>
      <c r="E291" s="616"/>
      <c r="F291" s="616"/>
      <c r="G291" s="616"/>
      <c r="H291" s="466"/>
      <c r="I291" s="616"/>
      <c r="J291" s="616"/>
      <c r="K291" s="1670">
        <f>H291</f>
        <v>0</v>
      </c>
      <c r="L291" s="466">
        <v>0</v>
      </c>
    </row>
    <row r="292" spans="1:14" x14ac:dyDescent="0.2">
      <c r="A292" s="1504" t="s">
        <v>762</v>
      </c>
      <c r="B292" s="614" t="s">
        <v>618</v>
      </c>
      <c r="C292" s="616"/>
      <c r="D292" s="616"/>
      <c r="E292" s="616"/>
      <c r="F292" s="616"/>
      <c r="G292" s="616"/>
      <c r="H292" s="466"/>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69">
        <f>SUM(D229,D279,D280,D285)</f>
        <v>0</v>
      </c>
      <c r="E295" s="616"/>
      <c r="F295" s="616"/>
      <c r="G295" s="616"/>
      <c r="H295" s="1669">
        <f>H293</f>
        <v>0</v>
      </c>
      <c r="I295" s="616"/>
      <c r="J295" s="616"/>
      <c r="K295" s="1669">
        <f>SUM(K229,K279,K280,K285,K293,K294)</f>
        <v>0</v>
      </c>
      <c r="L295" s="1669">
        <f>SUM(L229,L279,L280,L285,L293,L294)</f>
        <v>0</v>
      </c>
    </row>
    <row r="296" spans="1:14" ht="13.5" thickTop="1" x14ac:dyDescent="0.2">
      <c r="A296" s="2154" t="s">
        <v>996</v>
      </c>
      <c r="B296" s="2155"/>
      <c r="C296" s="616"/>
      <c r="D296" s="618"/>
      <c r="E296" s="616"/>
      <c r="F296" s="616"/>
      <c r="G296" s="616"/>
      <c r="H296" s="687"/>
      <c r="I296" s="616"/>
      <c r="J296" s="616"/>
      <c r="K296" s="1683">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v>0</v>
      </c>
    </row>
    <row r="302" spans="1:14" ht="13.5" customHeight="1" x14ac:dyDescent="0.2">
      <c r="A302" s="1517" t="s">
        <v>980</v>
      </c>
      <c r="B302" s="614" t="s">
        <v>574</v>
      </c>
      <c r="C302" s="466"/>
      <c r="D302" s="466"/>
      <c r="E302" s="466"/>
      <c r="F302" s="466"/>
      <c r="G302" s="466"/>
      <c r="H302" s="466"/>
      <c r="I302" s="467"/>
      <c r="J302" s="467"/>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0">
        <f>SUM(E306,H306)</f>
        <v>0</v>
      </c>
      <c r="L306" s="467">
        <v>0</v>
      </c>
    </row>
    <row r="307" spans="1:14" x14ac:dyDescent="0.2">
      <c r="A307" s="1504" t="s">
        <v>304</v>
      </c>
      <c r="B307" s="614">
        <v>4120</v>
      </c>
      <c r="C307" s="616"/>
      <c r="D307" s="616"/>
      <c r="E307" s="467"/>
      <c r="F307" s="616"/>
      <c r="G307" s="616"/>
      <c r="H307" s="467"/>
      <c r="I307" s="477"/>
      <c r="J307" s="616"/>
      <c r="K307" s="1670">
        <f>SUM(E307,H307)</f>
        <v>0</v>
      </c>
      <c r="L307" s="466">
        <v>0</v>
      </c>
    </row>
    <row r="308" spans="1:14" x14ac:dyDescent="0.2">
      <c r="A308" s="1504" t="s">
        <v>697</v>
      </c>
      <c r="B308" s="614">
        <v>4140</v>
      </c>
      <c r="C308" s="616"/>
      <c r="D308" s="616"/>
      <c r="E308" s="467"/>
      <c r="F308" s="616"/>
      <c r="G308" s="616"/>
      <c r="H308" s="467"/>
      <c r="I308" s="477"/>
      <c r="J308" s="616"/>
      <c r="K308" s="1670">
        <f>SUM(E308,H308)</f>
        <v>0</v>
      </c>
      <c r="L308" s="466">
        <v>0</v>
      </c>
    </row>
    <row r="309" spans="1:14" ht="12.75" customHeight="1" x14ac:dyDescent="0.2">
      <c r="A309" s="1508" t="s">
        <v>698</v>
      </c>
      <c r="B309" s="628">
        <v>4190</v>
      </c>
      <c r="C309" s="616"/>
      <c r="D309" s="616"/>
      <c r="E309" s="467"/>
      <c r="F309" s="616"/>
      <c r="G309" s="616"/>
      <c r="H309" s="467"/>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5" t="s">
        <v>996</v>
      </c>
      <c r="B313" s="2166"/>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v>0</v>
      </c>
      <c r="M319" s="665"/>
      <c r="N319" s="665"/>
    </row>
    <row r="320" spans="1:14" s="674" customFormat="1" x14ac:dyDescent="0.2">
      <c r="A320" s="1523" t="s">
        <v>1802</v>
      </c>
      <c r="B320" s="698" t="s">
        <v>282</v>
      </c>
      <c r="C320" s="467"/>
      <c r="D320" s="467"/>
      <c r="E320" s="467"/>
      <c r="F320" s="467"/>
      <c r="G320" s="467"/>
      <c r="H320" s="467"/>
      <c r="I320" s="467"/>
      <c r="J320" s="467"/>
      <c r="K320" s="1670">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0">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0">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1847</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1841</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304</v>
      </c>
      <c r="B333" s="1826" t="s">
        <v>1843</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1848</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v>0</v>
      </c>
    </row>
    <row r="338" spans="1:14" ht="12.75" customHeight="1" x14ac:dyDescent="0.2">
      <c r="A338" s="1518" t="s">
        <v>1170</v>
      </c>
      <c r="B338" s="690" t="s">
        <v>617</v>
      </c>
      <c r="C338" s="638"/>
      <c r="D338" s="638"/>
      <c r="E338" s="638"/>
      <c r="F338" s="638"/>
      <c r="G338" s="638"/>
      <c r="H338" s="478"/>
      <c r="I338" s="638"/>
      <c r="J338" s="638"/>
      <c r="K338" s="1670">
        <f>H338</f>
        <v>0</v>
      </c>
      <c r="L338" s="478">
        <v>0</v>
      </c>
    </row>
    <row r="339" spans="1:14" x14ac:dyDescent="0.2">
      <c r="A339" s="1504" t="s">
        <v>901</v>
      </c>
      <c r="B339" s="628">
        <v>5150</v>
      </c>
      <c r="C339" s="638"/>
      <c r="D339" s="638"/>
      <c r="E339" s="638"/>
      <c r="F339" s="638"/>
      <c r="G339" s="638"/>
      <c r="H339" s="467"/>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67" t="s">
        <v>996</v>
      </c>
      <c r="B343" s="2168"/>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v>0</v>
      </c>
    </row>
    <row r="349" spans="1:14" x14ac:dyDescent="0.2">
      <c r="A349" s="1504" t="s">
        <v>197</v>
      </c>
      <c r="B349" s="614">
        <v>2540</v>
      </c>
      <c r="C349" s="466"/>
      <c r="D349" s="466"/>
      <c r="E349" s="466"/>
      <c r="F349" s="466"/>
      <c r="G349" s="466"/>
      <c r="H349" s="466"/>
      <c r="I349" s="467"/>
      <c r="J349" s="467"/>
      <c r="K349" s="1670">
        <f>SUM(C349:J349)</f>
        <v>0</v>
      </c>
      <c r="L349" s="466">
        <v>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c r="I354" s="701"/>
      <c r="J354" s="616"/>
      <c r="K354" s="1698">
        <f>H354</f>
        <v>0</v>
      </c>
      <c r="L354" s="471">
        <v>0</v>
      </c>
    </row>
    <row r="355" spans="1:14" ht="12.75" customHeight="1" x14ac:dyDescent="0.2">
      <c r="A355" s="1513" t="s">
        <v>1850</v>
      </c>
      <c r="B355" s="690" t="s">
        <v>1843</v>
      </c>
      <c r="C355" s="616"/>
      <c r="D355" s="616"/>
      <c r="E355" s="616"/>
      <c r="F355" s="616"/>
      <c r="G355" s="616"/>
      <c r="H355" s="467"/>
      <c r="I355" s="701"/>
      <c r="J355" s="616"/>
      <c r="K355" s="1742">
        <f>H355</f>
        <v>0</v>
      </c>
      <c r="L355" s="467">
        <v>0</v>
      </c>
    </row>
    <row r="356" spans="1:14" ht="12.75" customHeight="1" x14ac:dyDescent="0.2">
      <c r="A356" s="1833" t="s">
        <v>698</v>
      </c>
      <c r="B356" s="683" t="s">
        <v>558</v>
      </c>
      <c r="C356" s="616"/>
      <c r="D356" s="616"/>
      <c r="E356" s="616"/>
      <c r="F356" s="616"/>
      <c r="G356" s="616"/>
      <c r="H356" s="479"/>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v>0</v>
      </c>
    </row>
    <row r="361" spans="1:14" ht="12.75" customHeight="1" x14ac:dyDescent="0.2">
      <c r="A361" s="1505" t="s">
        <v>619</v>
      </c>
      <c r="B361" s="602" t="s">
        <v>618</v>
      </c>
      <c r="C361" s="616"/>
      <c r="D361" s="616"/>
      <c r="E361" s="616"/>
      <c r="F361" s="616"/>
      <c r="G361" s="616"/>
      <c r="H361" s="467"/>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4" t="s">
        <v>996</v>
      </c>
      <c r="B368" s="2155"/>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32" right="0.2" top="0.69" bottom="0.41" header="0.3" footer="0.22"/>
  <pageSetup scale="73" firstPageNumber="21" fitToHeight="0" orientation="landscape" useFirstPageNumber="1" r:id="rId1"/>
  <headerFooter alignWithMargins="0">
    <oddHeader>&amp;C&amp;"Arial,Bold"&amp;9Kaskaskia Special Education District #801
STATEMENT OF EXPENDITURES DISBURSED/EXPENDITURES, BUDGET TO ACTUAL
FOR THE YEAR ENDING JUNE 30, 2019</oddHeader>
    <oddFooter>&amp;L&amp;9See accompanying notes to the financial statements.
&amp;C- &amp;P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view="pageLayout" topLeftCell="A10" colorId="8" zoomScaleNormal="110" workbookViewId="0">
      <selection activeCell="C29" sqref="C2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1" t="s">
        <v>1799</v>
      </c>
      <c r="B2" s="1528" t="s">
        <v>1947</v>
      </c>
      <c r="C2" s="714" t="s">
        <v>1948</v>
      </c>
      <c r="D2" s="714" t="s">
        <v>1949</v>
      </c>
      <c r="E2" s="714" t="s">
        <v>1950</v>
      </c>
      <c r="F2" s="714" t="s">
        <v>1951</v>
      </c>
    </row>
    <row r="3" spans="1:6" ht="12" customHeight="1" x14ac:dyDescent="0.2">
      <c r="A3" s="2182"/>
      <c r="B3" s="1525"/>
      <c r="C3" s="1526"/>
      <c r="D3" s="1527" t="s">
        <v>256</v>
      </c>
      <c r="E3" s="1526"/>
      <c r="F3" s="1527" t="s">
        <v>257</v>
      </c>
    </row>
    <row r="4" spans="1:6" ht="13.7" customHeight="1" x14ac:dyDescent="0.2">
      <c r="A4" s="715" t="s">
        <v>1155</v>
      </c>
      <c r="B4" s="1748">
        <f>'Revenues 9-14'!C5</f>
        <v>0</v>
      </c>
      <c r="C4" s="1524"/>
      <c r="D4" s="1751">
        <f>B4-C4</f>
        <v>0</v>
      </c>
      <c r="E4" s="1524"/>
      <c r="F4" s="1751">
        <f>E4-C4</f>
        <v>0</v>
      </c>
    </row>
    <row r="5" spans="1:6" ht="13.7" customHeight="1" x14ac:dyDescent="0.2">
      <c r="A5" s="715" t="s">
        <v>870</v>
      </c>
      <c r="B5" s="1749">
        <f>'Revenues 9-14'!D5</f>
        <v>0</v>
      </c>
      <c r="C5" s="585"/>
      <c r="D5" s="1752">
        <f t="shared" ref="D5:D18" si="0">B5-C5</f>
        <v>0</v>
      </c>
      <c r="E5" s="585"/>
      <c r="F5" s="1752">
        <f>E5-C5</f>
        <v>0</v>
      </c>
    </row>
    <row r="6" spans="1:6" ht="13.7" customHeight="1" x14ac:dyDescent="0.2">
      <c r="A6" s="715" t="s">
        <v>411</v>
      </c>
      <c r="B6" s="1749">
        <f>'Revenues 9-14'!E5</f>
        <v>0</v>
      </c>
      <c r="C6" s="585"/>
      <c r="D6" s="1752">
        <f t="shared" si="0"/>
        <v>0</v>
      </c>
      <c r="E6" s="585"/>
      <c r="F6" s="1752">
        <f t="shared" ref="F6:F18" si="1">E6-C6</f>
        <v>0</v>
      </c>
    </row>
    <row r="7" spans="1:6" ht="13.7" customHeight="1" x14ac:dyDescent="0.2">
      <c r="A7" s="715" t="s">
        <v>155</v>
      </c>
      <c r="B7" s="1749">
        <f>'Revenues 9-14'!F5</f>
        <v>0</v>
      </c>
      <c r="C7" s="585"/>
      <c r="D7" s="1752">
        <f t="shared" si="0"/>
        <v>0</v>
      </c>
      <c r="E7" s="585"/>
      <c r="F7" s="1752">
        <f t="shared" si="1"/>
        <v>0</v>
      </c>
    </row>
    <row r="8" spans="1:6" ht="13.7" customHeight="1" x14ac:dyDescent="0.2">
      <c r="A8" s="715" t="s">
        <v>1179</v>
      </c>
      <c r="B8" s="1749">
        <f>'Revenues 9-14'!G5</f>
        <v>0</v>
      </c>
      <c r="C8" s="585"/>
      <c r="D8" s="1752">
        <f t="shared" si="0"/>
        <v>0</v>
      </c>
      <c r="E8" s="585"/>
      <c r="F8" s="1752">
        <f t="shared" si="1"/>
        <v>0</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0</v>
      </c>
      <c r="C10" s="585"/>
      <c r="D10" s="1752">
        <f t="shared" si="0"/>
        <v>0</v>
      </c>
      <c r="E10" s="585"/>
      <c r="F10" s="1752">
        <f t="shared" si="1"/>
        <v>0</v>
      </c>
    </row>
    <row r="11" spans="1:6" x14ac:dyDescent="0.2">
      <c r="A11" s="715" t="s">
        <v>409</v>
      </c>
      <c r="B11" s="1749">
        <f>'Revenues 9-14'!J5</f>
        <v>0</v>
      </c>
      <c r="C11" s="585"/>
      <c r="D11" s="1752">
        <f t="shared" si="0"/>
        <v>0</v>
      </c>
      <c r="E11" s="585"/>
      <c r="F11" s="1752">
        <f t="shared" si="1"/>
        <v>0</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0</v>
      </c>
      <c r="C14" s="585"/>
      <c r="D14" s="1752">
        <f t="shared" si="0"/>
        <v>0</v>
      </c>
      <c r="E14" s="585"/>
      <c r="F14" s="1752">
        <f t="shared" si="1"/>
        <v>0</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0</v>
      </c>
      <c r="C16" s="585"/>
      <c r="D16" s="1752">
        <f t="shared" si="0"/>
        <v>0</v>
      </c>
      <c r="E16" s="585"/>
      <c r="F16" s="1752">
        <f t="shared" si="1"/>
        <v>0</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0</v>
      </c>
      <c r="C19" s="1750">
        <f>SUM(C4:C18)</f>
        <v>0</v>
      </c>
      <c r="D19" s="1750">
        <f>SUM(D4:D18)</f>
        <v>0</v>
      </c>
      <c r="E19" s="1750">
        <f>SUM(E4:E18)</f>
        <v>0</v>
      </c>
      <c r="F19" s="1750">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25" right="0.15" top="1.65" bottom="0.52" header="0.81" footer="0.2"/>
  <pageSetup firstPageNumber="23" orientation="landscape" useFirstPageNumber="1" r:id="rId1"/>
  <headerFooter alignWithMargins="0">
    <oddHeader>&amp;CKaskaskia Special Education District #801</oddHeader>
    <oddFooter xml:space="preserve">&amp;L&amp;8See accompanying notes to the financial statements.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view="pageLayout" topLeftCell="A28" colorId="8" zoomScaleNormal="110" workbookViewId="0">
      <selection activeCell="F53" sqref="F53:G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1799</v>
      </c>
      <c r="B2" s="2209"/>
      <c r="C2" s="1883" t="s">
        <v>1952</v>
      </c>
      <c r="D2" s="723" t="s">
        <v>1953</v>
      </c>
      <c r="E2" s="723" t="s">
        <v>1954</v>
      </c>
      <c r="F2" s="1883" t="s">
        <v>1955</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4">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4" t="s">
        <v>631</v>
      </c>
      <c r="B15" s="2195"/>
      <c r="C15" s="1754">
        <f>SUM(C6:C14)</f>
        <v>0</v>
      </c>
      <c r="D15" s="1754">
        <f>SUM(D6:D14)</f>
        <v>0</v>
      </c>
      <c r="E15" s="1754">
        <f>SUM(E6:E14)</f>
        <v>0</v>
      </c>
      <c r="F15" s="1754">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4">
        <f>SUM(C17+D17)-E17</f>
        <v>0</v>
      </c>
    </row>
    <row r="18" spans="1:11" ht="12.75" customHeight="1" thickTop="1" thickBot="1" x14ac:dyDescent="0.25">
      <c r="A18" s="2189" t="s">
        <v>6</v>
      </c>
      <c r="B18" s="2190"/>
      <c r="C18" s="726"/>
      <c r="D18" s="585"/>
      <c r="E18" s="726"/>
      <c r="F18" s="1754">
        <f>SUM(C18+D18)-E18</f>
        <v>0</v>
      </c>
    </row>
    <row r="19" spans="1:11" ht="12.75" customHeight="1" thickTop="1" thickBot="1" x14ac:dyDescent="0.25">
      <c r="A19" s="2189" t="s">
        <v>388</v>
      </c>
      <c r="B19" s="2190"/>
      <c r="C19" s="726"/>
      <c r="D19" s="585"/>
      <c r="E19" s="726"/>
      <c r="F19" s="1754">
        <f>SUM(C19+D19)-E19</f>
        <v>0</v>
      </c>
    </row>
    <row r="20" spans="1:11" ht="12.75" customHeight="1" thickTop="1" thickBot="1" x14ac:dyDescent="0.25">
      <c r="A20" s="2189" t="s">
        <v>448</v>
      </c>
      <c r="B20" s="2190"/>
      <c r="C20" s="726"/>
      <c r="D20" s="585"/>
      <c r="E20" s="726"/>
      <c r="F20" s="1754">
        <f>SUM(C20+D20)-E20</f>
        <v>0</v>
      </c>
    </row>
    <row r="21" spans="1:11" ht="14.25" thickTop="1" thickBot="1" x14ac:dyDescent="0.25">
      <c r="A21" s="2194" t="s">
        <v>632</v>
      </c>
      <c r="B21" s="2195"/>
      <c r="C21" s="1754">
        <f>SUM(C17:C20)</f>
        <v>0</v>
      </c>
      <c r="D21" s="1754">
        <f>SUM(D17:D20)</f>
        <v>0</v>
      </c>
      <c r="E21" s="1754">
        <f>SUM(E17:E20)</f>
        <v>0</v>
      </c>
      <c r="F21" s="1754">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4">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4">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4">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4" t="s">
        <v>583</v>
      </c>
      <c r="D30" s="1884" t="s">
        <v>1673</v>
      </c>
      <c r="E30" s="1884" t="s">
        <v>1956</v>
      </c>
      <c r="F30" s="1884" t="s">
        <v>1957</v>
      </c>
      <c r="G30" s="1884" t="s">
        <v>1907</v>
      </c>
      <c r="H30" s="1884" t="s">
        <v>1958</v>
      </c>
      <c r="I30" s="1884" t="s">
        <v>1959</v>
      </c>
      <c r="J30" s="1885" t="s">
        <v>2</v>
      </c>
      <c r="K30" s="731"/>
    </row>
    <row r="31" spans="1:11" ht="12" customHeight="1" x14ac:dyDescent="0.2">
      <c r="A31" s="732" t="s">
        <v>2078</v>
      </c>
      <c r="B31" s="733">
        <v>42802</v>
      </c>
      <c r="C31" s="734">
        <v>66180</v>
      </c>
      <c r="D31" s="735">
        <v>7</v>
      </c>
      <c r="E31" s="734">
        <v>52944</v>
      </c>
      <c r="F31" s="734"/>
      <c r="G31" s="734">
        <v>-52944</v>
      </c>
      <c r="H31" s="734"/>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66180</v>
      </c>
      <c r="D49" s="745"/>
      <c r="E49" s="1755">
        <f t="shared" ref="E49:J49" si="2">SUM(E31:E48)</f>
        <v>52944</v>
      </c>
      <c r="F49" s="1755">
        <f t="shared" si="2"/>
        <v>0</v>
      </c>
      <c r="G49" s="1755">
        <f t="shared" si="2"/>
        <v>-52944</v>
      </c>
      <c r="H49" s="1755">
        <f t="shared" si="2"/>
        <v>0</v>
      </c>
      <c r="I49" s="1755">
        <f t="shared" si="2"/>
        <v>0</v>
      </c>
      <c r="J49" s="1755">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2079</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55000000000000004" right="0.15" top="0.46" bottom="0.45" header="0.26" footer="0.22"/>
  <pageSetup scale="70" firstPageNumber="29" fitToHeight="0" orientation="landscape" useFirstPageNumber="1" r:id="rId1"/>
  <headerFooter alignWithMargins="0">
    <oddHeader>&amp;CKaskaskia Special Education District #801</oddHeader>
    <oddFooter>&amp;L&amp;9See accompanying notes to the financial statements.
&amp;C- 29 -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view="pageLayout" topLeftCell="A21" colorId="8" zoomScaleNormal="110" workbookViewId="0">
      <selection activeCell="I38" sqref="I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1809</v>
      </c>
      <c r="K2" s="762" t="s">
        <v>138</v>
      </c>
    </row>
    <row r="3" spans="1:11" x14ac:dyDescent="0.2">
      <c r="A3" s="2234" t="s">
        <v>1960</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1810</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6"/>
      <c r="G12" s="1757">
        <f>SUM(G5:G11)</f>
        <v>0</v>
      </c>
      <c r="H12" s="1757">
        <f>SUM(H5:H11)</f>
        <v>0</v>
      </c>
      <c r="I12" s="1757">
        <f>SUM(I5:I11)</f>
        <v>0</v>
      </c>
      <c r="J12" s="1757">
        <f>SUM(J5:J11)</f>
        <v>0</v>
      </c>
      <c r="K12" s="1757">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1806</v>
      </c>
      <c r="B19" s="2224"/>
      <c r="C19" s="2224"/>
      <c r="D19" s="2224"/>
      <c r="E19" s="2225"/>
      <c r="F19" s="789" t="s">
        <v>933</v>
      </c>
      <c r="G19" s="782"/>
      <c r="H19" s="782"/>
      <c r="I19" s="782"/>
      <c r="J19" s="765"/>
      <c r="K19" s="795"/>
    </row>
    <row r="20" spans="1:11" x14ac:dyDescent="0.2">
      <c r="A20" s="2226" t="s">
        <v>1811</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8"/>
      <c r="G21" s="792"/>
      <c r="H21" s="796"/>
      <c r="I21" s="796"/>
      <c r="J21" s="1759">
        <f>SUM(J18:J20)</f>
        <v>0</v>
      </c>
      <c r="K21" s="793"/>
    </row>
    <row r="22" spans="1:11" ht="13.5" thickTop="1" x14ac:dyDescent="0.2">
      <c r="A22" s="2216" t="s">
        <v>1812</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0"/>
      <c r="G23" s="1757">
        <f>SUM(G14:G16,G21,G22)</f>
        <v>0</v>
      </c>
      <c r="H23" s="1757">
        <f>SUM(H14:H16,H21,H22)</f>
        <v>0</v>
      </c>
      <c r="I23" s="1757">
        <f>SUM(I14:I16,I21,I22)</f>
        <v>0</v>
      </c>
      <c r="J23" s="1757">
        <f>SUM(J14:J16,J21,J22)</f>
        <v>0</v>
      </c>
      <c r="K23" s="1757">
        <f>SUM(K14:K16,K21,K22)</f>
        <v>0</v>
      </c>
    </row>
    <row r="24" spans="1:11" ht="14.25" thickTop="1" thickBot="1" x14ac:dyDescent="0.25">
      <c r="A24" s="2246" t="s">
        <v>1961</v>
      </c>
      <c r="B24" s="2245"/>
      <c r="C24" s="2245"/>
      <c r="D24" s="2245"/>
      <c r="E24" s="2245"/>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ageMargins left="0.35" right="0.17" top="0.7" bottom="0.4" header="0.15" footer="0.2"/>
  <pageSetup scale="83" firstPageNumber="25" orientation="landscape" useFirstPageNumber="1" r:id="rId1"/>
  <headerFooter>
    <oddHeader xml:space="preserve">&amp;C&amp;"Arial,Bold"Kaskaskia Special Education District #801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topLeftCell="A12" colorId="8" zoomScaleNormal="110" workbookViewId="0">
      <selection activeCell="K16" sqref="K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1905</v>
      </c>
      <c r="B1" s="2252"/>
      <c r="C1" s="2253"/>
      <c r="D1" s="826"/>
      <c r="E1" s="827"/>
      <c r="F1" s="827"/>
      <c r="G1" s="828"/>
      <c r="H1" s="829"/>
      <c r="I1" s="830"/>
      <c r="J1" s="2249"/>
      <c r="K1" s="2250"/>
      <c r="L1" s="2250"/>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51500</v>
      </c>
      <c r="D5" s="841"/>
      <c r="E5" s="841"/>
      <c r="F5" s="1759">
        <f>(C5+D5)-E5</f>
        <v>51500</v>
      </c>
      <c r="G5" s="837"/>
      <c r="H5" s="842"/>
      <c r="I5" s="842"/>
      <c r="J5" s="842"/>
      <c r="K5" s="793"/>
      <c r="L5" s="1768">
        <f>F5-K5</f>
        <v>51500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1323558</v>
      </c>
      <c r="D8" s="844"/>
      <c r="E8" s="844"/>
      <c r="F8" s="1759">
        <f>(C8+D8)-E8</f>
        <v>1323558</v>
      </c>
      <c r="G8" s="843">
        <v>50</v>
      </c>
      <c r="H8" s="765">
        <v>533794</v>
      </c>
      <c r="I8" s="765">
        <v>26471</v>
      </c>
      <c r="J8" s="765"/>
      <c r="K8" s="1768">
        <f>(H8+I8)-J8</f>
        <v>560265</v>
      </c>
      <c r="L8" s="1768">
        <f>F8-K8</f>
        <v>763293</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63651</v>
      </c>
      <c r="D10" s="846">
        <v>9262</v>
      </c>
      <c r="E10" s="846"/>
      <c r="F10" s="1763">
        <f>(C10+D10)-E10</f>
        <v>72913</v>
      </c>
      <c r="G10" s="843">
        <v>20</v>
      </c>
      <c r="H10" s="847">
        <v>56038</v>
      </c>
      <c r="I10" s="847">
        <v>3568</v>
      </c>
      <c r="J10" s="847"/>
      <c r="K10" s="1768">
        <f>(H10+I10)-J10</f>
        <v>59606</v>
      </c>
      <c r="L10" s="1768">
        <f>F10-K10</f>
        <v>13307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365022</v>
      </c>
      <c r="D12" s="844">
        <v>38173</v>
      </c>
      <c r="E12" s="844">
        <v>27380</v>
      </c>
      <c r="F12" s="1759">
        <f>(C12+D12)-E12</f>
        <v>375815</v>
      </c>
      <c r="G12" s="843">
        <v>10</v>
      </c>
      <c r="H12" s="765">
        <v>251185</v>
      </c>
      <c r="I12" s="765">
        <v>26925</v>
      </c>
      <c r="J12" s="765">
        <v>27380</v>
      </c>
      <c r="K12" s="1768">
        <f>(H12+I12)-J12</f>
        <v>250730</v>
      </c>
      <c r="L12" s="1768">
        <f>F12-K12</f>
        <v>125085</v>
      </c>
    </row>
    <row r="13" spans="1:14" ht="14.25" thickTop="1" thickBot="1" x14ac:dyDescent="0.25">
      <c r="A13" s="848" t="s">
        <v>1122</v>
      </c>
      <c r="B13" s="840">
        <v>252</v>
      </c>
      <c r="C13" s="844">
        <v>17992</v>
      </c>
      <c r="D13" s="844"/>
      <c r="E13" s="844"/>
      <c r="F13" s="1759">
        <f>(C13+D13)-E13</f>
        <v>17992</v>
      </c>
      <c r="G13" s="843">
        <v>5</v>
      </c>
      <c r="H13" s="765">
        <v>17992</v>
      </c>
      <c r="I13" s="765"/>
      <c r="J13" s="765"/>
      <c r="K13" s="1768">
        <f>(H13+I13)-J13</f>
        <v>17992</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1821723</v>
      </c>
      <c r="D16" s="1759">
        <f>SUM(D3,D5:D6,D8:D10,D12:D15)</f>
        <v>47435</v>
      </c>
      <c r="E16" s="1759">
        <f>SUM(E3,E5:E6,E8:E10,E12:E15)</f>
        <v>27380</v>
      </c>
      <c r="F16" s="1759">
        <f>SUM(F3,F5:F6,F8:F10,F12:F15)</f>
        <v>1841778</v>
      </c>
      <c r="G16" s="843"/>
      <c r="H16" s="1759">
        <f>SUM(H3,H6,H8:H10,H12:H14,)</f>
        <v>859009</v>
      </c>
      <c r="I16" s="1759">
        <f>SUM(I3,I6,I8:I10,I12:I14,)</f>
        <v>56964</v>
      </c>
      <c r="J16" s="1759">
        <f>SUM(J3,J6,J8:J10,J12:J14,)</f>
        <v>27380</v>
      </c>
      <c r="K16" s="1759">
        <f>(H16+I16)-J16</f>
        <v>888593</v>
      </c>
      <c r="L16" s="1759">
        <f>F16-K16</f>
        <v>953185</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56964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44" right="0.17" top="1.1000000000000001" bottom="0.89" header="0.59" footer="0.51"/>
  <pageSetup scale="79" firstPageNumber="26" orientation="landscape" useFirstPageNumber="1" r:id="rId1"/>
  <headerFooter alignWithMargins="0">
    <oddHeader>&amp;CKaskaskia Special Education District #801</oddHeader>
    <oddFooter>&amp;L&amp;9See accompanying notes to the financial statements.
&amp;C- 30 -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J33" sqref="J3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1971</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9668747</v>
      </c>
      <c r="G8" s="865"/>
    </row>
    <row r="9" spans="1:7" x14ac:dyDescent="0.2">
      <c r="A9" s="869" t="s">
        <v>460</v>
      </c>
      <c r="B9" s="870" t="s">
        <v>1873</v>
      </c>
      <c r="C9" s="871"/>
      <c r="D9" s="869" t="s">
        <v>501</v>
      </c>
      <c r="E9" s="868"/>
      <c r="F9" s="1908">
        <f>'Expenditures 15-22'!K151</f>
        <v>0</v>
      </c>
      <c r="G9" s="872"/>
    </row>
    <row r="10" spans="1:7" x14ac:dyDescent="0.2">
      <c r="A10" s="869" t="s">
        <v>499</v>
      </c>
      <c r="B10" s="870" t="s">
        <v>1874</v>
      </c>
      <c r="C10" s="871"/>
      <c r="D10" s="869" t="s">
        <v>501</v>
      </c>
      <c r="E10" s="868"/>
      <c r="F10" s="1908">
        <f>'Expenditures 15-22'!K174</f>
        <v>0</v>
      </c>
      <c r="G10" s="872"/>
    </row>
    <row r="11" spans="1:7" x14ac:dyDescent="0.2">
      <c r="A11" s="869" t="s">
        <v>461</v>
      </c>
      <c r="B11" s="870" t="s">
        <v>1875</v>
      </c>
      <c r="C11" s="871"/>
      <c r="D11" s="869" t="s">
        <v>501</v>
      </c>
      <c r="E11" s="868"/>
      <c r="F11" s="1908">
        <f>'Expenditures 15-22'!K210</f>
        <v>0</v>
      </c>
      <c r="G11" s="872"/>
    </row>
    <row r="12" spans="1:7" x14ac:dyDescent="0.2">
      <c r="A12" s="869" t="s">
        <v>462</v>
      </c>
      <c r="B12" s="870" t="s">
        <v>1876</v>
      </c>
      <c r="C12" s="871"/>
      <c r="D12" s="869" t="s">
        <v>501</v>
      </c>
      <c r="E12" s="868"/>
      <c r="F12" s="1908">
        <f>'Expenditures 15-22'!K295</f>
        <v>0</v>
      </c>
      <c r="G12" s="872"/>
    </row>
    <row r="13" spans="1:7" x14ac:dyDescent="0.2">
      <c r="A13" s="869" t="s">
        <v>106</v>
      </c>
      <c r="B13" s="870" t="s">
        <v>1877</v>
      </c>
      <c r="C13" s="871"/>
      <c r="D13" s="869" t="s">
        <v>501</v>
      </c>
      <c r="E13" s="868"/>
      <c r="F13" s="1908">
        <f>'Expenditures 15-22'!K342</f>
        <v>0</v>
      </c>
      <c r="G13" s="873"/>
    </row>
    <row r="14" spans="1:7" ht="12" customHeight="1" thickBot="1" x14ac:dyDescent="0.25">
      <c r="A14" s="1769"/>
      <c r="B14" s="1770"/>
      <c r="C14" s="1771"/>
      <c r="D14" s="1772" t="s">
        <v>501</v>
      </c>
      <c r="E14" s="1773" t="s">
        <v>958</v>
      </c>
      <c r="F14" s="1774">
        <f>SUM(F8:F13)</f>
        <v>9668747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3">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1998</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1295925</v>
      </c>
      <c r="G53" s="865"/>
    </row>
    <row r="54" spans="1:7" x14ac:dyDescent="0.2">
      <c r="A54" s="869" t="s">
        <v>459</v>
      </c>
      <c r="B54" s="869" t="s">
        <v>1476</v>
      </c>
      <c r="C54" s="889" t="s">
        <v>982</v>
      </c>
      <c r="D54" s="885" t="s">
        <v>1095</v>
      </c>
      <c r="E54" s="868"/>
      <c r="F54" s="1912">
        <f>'Expenditures 15-22'!G114</f>
        <v>47435</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2">
        <f>'Expenditures 15-22'!K139</f>
        <v>0</v>
      </c>
      <c r="G57" s="865"/>
    </row>
    <row r="58" spans="1:7" x14ac:dyDescent="0.2">
      <c r="A58" s="869" t="s">
        <v>460</v>
      </c>
      <c r="B58" s="869" t="s">
        <v>1879</v>
      </c>
      <c r="C58" s="886" t="s">
        <v>982</v>
      </c>
      <c r="D58" s="885" t="s">
        <v>1095</v>
      </c>
      <c r="E58" s="868"/>
      <c r="F58" s="1914">
        <f>'Expenditures 15-22'!G151</f>
        <v>0</v>
      </c>
      <c r="G58" s="865"/>
    </row>
    <row r="59" spans="1:7" x14ac:dyDescent="0.2">
      <c r="A59" s="893" t="s">
        <v>460</v>
      </c>
      <c r="B59" s="856" t="s">
        <v>1880</v>
      </c>
      <c r="C59" s="894" t="s">
        <v>982</v>
      </c>
      <c r="D59" s="856" t="s">
        <v>291</v>
      </c>
      <c r="F59" s="1915">
        <f>'Expenditures 15-22'!I151</f>
        <v>0</v>
      </c>
      <c r="G59" s="865"/>
    </row>
    <row r="60" spans="1:7" x14ac:dyDescent="0.2">
      <c r="A60" s="893" t="s">
        <v>499</v>
      </c>
      <c r="B60" s="856" t="s">
        <v>1881</v>
      </c>
      <c r="C60" s="894">
        <v>4000</v>
      </c>
      <c r="D60" s="856" t="s">
        <v>312</v>
      </c>
      <c r="F60" s="1913">
        <f>'Expenditures 15-22'!K160</f>
        <v>0</v>
      </c>
      <c r="G60" s="865"/>
    </row>
    <row r="61" spans="1:7" x14ac:dyDescent="0.2">
      <c r="A61" s="895" t="s">
        <v>499</v>
      </c>
      <c r="B61" s="895" t="s">
        <v>1882</v>
      </c>
      <c r="C61" s="896" t="str">
        <f>'Expenditures 15-22'!B170</f>
        <v>5300</v>
      </c>
      <c r="D61" s="897" t="s">
        <v>311</v>
      </c>
      <c r="E61" s="879"/>
      <c r="F61" s="1912">
        <f>'Expenditures 15-22'!K170</f>
        <v>0</v>
      </c>
      <c r="G61" s="865"/>
    </row>
    <row r="62" spans="1:7" x14ac:dyDescent="0.2">
      <c r="A62" s="869" t="s">
        <v>461</v>
      </c>
      <c r="B62" s="869" t="s">
        <v>1883</v>
      </c>
      <c r="C62" s="886">
        <f>'Expenditures 15-22'!B185</f>
        <v>3000</v>
      </c>
      <c r="D62" s="876" t="s">
        <v>449</v>
      </c>
      <c r="E62" s="868"/>
      <c r="F62" s="1912">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1885</v>
      </c>
      <c r="C64" s="896" t="str">
        <f>'Expenditures 15-22'!B206</f>
        <v>5300</v>
      </c>
      <c r="D64" s="892" t="s">
        <v>311</v>
      </c>
      <c r="E64" s="868"/>
      <c r="F64" s="1912">
        <f>'Expenditures 15-22'!K206</f>
        <v>0</v>
      </c>
      <c r="G64" s="865"/>
    </row>
    <row r="65" spans="1:8" x14ac:dyDescent="0.2">
      <c r="A65" s="869" t="s">
        <v>461</v>
      </c>
      <c r="B65" s="869" t="s">
        <v>1886</v>
      </c>
      <c r="C65" s="886" t="s">
        <v>982</v>
      </c>
      <c r="D65" s="885" t="s">
        <v>1095</v>
      </c>
      <c r="E65" s="868"/>
      <c r="F65" s="1912">
        <f>'Expenditures 15-22'!G210</f>
        <v>0</v>
      </c>
      <c r="G65" s="865"/>
    </row>
    <row r="66" spans="1:8" x14ac:dyDescent="0.2">
      <c r="A66" s="869" t="s">
        <v>461</v>
      </c>
      <c r="B66" s="869" t="s">
        <v>1887</v>
      </c>
      <c r="C66" s="886" t="s">
        <v>982</v>
      </c>
      <c r="D66" s="885" t="s">
        <v>291</v>
      </c>
      <c r="E66" s="868"/>
      <c r="F66" s="1912">
        <f>'Expenditures 15-22'!I210</f>
        <v>0</v>
      </c>
      <c r="G66" s="865"/>
    </row>
    <row r="67" spans="1:8" x14ac:dyDescent="0.2">
      <c r="A67" s="869" t="s">
        <v>462</v>
      </c>
      <c r="B67" s="869" t="s">
        <v>1888</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1890</v>
      </c>
      <c r="C70" s="886">
        <f>'Expenditures 15-22'!B221</f>
        <v>1300</v>
      </c>
      <c r="D70" s="887" t="str">
        <f>'Expenditures 15-22'!A221</f>
        <v>Adult/Continuing Education Programs</v>
      </c>
      <c r="E70" s="868"/>
      <c r="F70" s="1912">
        <f>'Expenditures 15-22'!K221</f>
        <v>0</v>
      </c>
      <c r="G70" s="865"/>
    </row>
    <row r="71" spans="1:8" x14ac:dyDescent="0.2">
      <c r="A71" s="869" t="s">
        <v>462</v>
      </c>
      <c r="B71" s="869" t="s">
        <v>1891</v>
      </c>
      <c r="C71" s="886">
        <f>'Expenditures 15-22'!B224</f>
        <v>1600</v>
      </c>
      <c r="D71" s="887" t="str">
        <f>'Expenditures 15-22'!A224</f>
        <v>Summer School Programs</v>
      </c>
      <c r="E71" s="868"/>
      <c r="F71" s="1912">
        <f>'Expenditures 15-22'!K224</f>
        <v>0</v>
      </c>
      <c r="G71" s="865"/>
    </row>
    <row r="72" spans="1:8" x14ac:dyDescent="0.2">
      <c r="A72" s="869" t="s">
        <v>462</v>
      </c>
      <c r="B72" s="869" t="s">
        <v>1892</v>
      </c>
      <c r="C72" s="886">
        <f>'Expenditures 15-22'!B280</f>
        <v>3000</v>
      </c>
      <c r="D72" s="876" t="s">
        <v>449</v>
      </c>
      <c r="E72" s="868"/>
      <c r="F72" s="1912">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1894</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958</v>
      </c>
      <c r="F76" s="1777">
        <f>SUM(F18:F74)</f>
        <v>1343360</v>
      </c>
      <c r="G76" s="865"/>
    </row>
    <row r="77" spans="1:8" s="893" customFormat="1" ht="12" customHeight="1" thickTop="1" thickBot="1" x14ac:dyDescent="0.25">
      <c r="A77" s="1778"/>
      <c r="B77" s="1775"/>
      <c r="C77" s="1771"/>
      <c r="D77" s="1776" t="s">
        <v>1896</v>
      </c>
      <c r="E77" s="1773"/>
      <c r="F77" s="1779">
        <f>(F14-F76)</f>
        <v>8325387</v>
      </c>
      <c r="G77" s="869"/>
    </row>
    <row r="78" spans="1:8" s="893" customFormat="1" ht="12" customHeight="1" thickTop="1" x14ac:dyDescent="0.2">
      <c r="A78" s="1780"/>
      <c r="B78" s="1775"/>
      <c r="C78" s="1771"/>
      <c r="D78" s="1776" t="s">
        <v>2058</v>
      </c>
      <c r="E78" s="1773"/>
      <c r="F78" s="898">
        <v>0</v>
      </c>
      <c r="G78" s="899"/>
      <c r="H78" s="869"/>
    </row>
    <row r="79" spans="1:8" s="893" customFormat="1" ht="12" customHeight="1" thickBot="1" x14ac:dyDescent="0.25">
      <c r="A79" s="1781"/>
      <c r="B79" s="1775"/>
      <c r="C79" s="1771"/>
      <c r="D79" s="1776" t="s">
        <v>1897</v>
      </c>
      <c r="E79" s="1773" t="s">
        <v>958</v>
      </c>
      <c r="F79" s="1782"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737</v>
      </c>
      <c r="G94" s="912"/>
    </row>
    <row r="95" spans="1:7" x14ac:dyDescent="0.2">
      <c r="A95" s="908" t="s">
        <v>140</v>
      </c>
      <c r="B95" s="908" t="s">
        <v>175</v>
      </c>
      <c r="C95" s="910">
        <v>1700</v>
      </c>
      <c r="D95" s="918" t="str">
        <f>'Revenues 9-14'!A82</f>
        <v>Total District/School Activity Income</v>
      </c>
      <c r="E95" s="906"/>
      <c r="F95" s="1788">
        <f>SUM('Revenues 9-14'!C82,'Revenues 9-14'!D82)</f>
        <v>0</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389929</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110568</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1999</v>
      </c>
      <c r="C105" s="913">
        <v>3100</v>
      </c>
      <c r="D105" s="919" t="str">
        <f>'Revenues 9-14'!A132</f>
        <v>Total Special Education</v>
      </c>
      <c r="E105" s="906"/>
      <c r="F105" s="1788">
        <f>SUM('Revenues 9-14'!C132:D132,'Revenues 9-14'!F132)</f>
        <v>1093134</v>
      </c>
      <c r="G105" s="912"/>
    </row>
    <row r="106" spans="1:7" x14ac:dyDescent="0.2">
      <c r="A106" s="908" t="s">
        <v>673</v>
      </c>
      <c r="B106" s="908" t="s">
        <v>2000</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2001</v>
      </c>
      <c r="C107" s="920">
        <v>3300</v>
      </c>
      <c r="D107" s="911" t="str">
        <f>'Revenues 9-14'!A145</f>
        <v>Total Bilingual Ed</v>
      </c>
      <c r="E107" s="906"/>
      <c r="F107" s="1788">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8">
        <f>'Revenues 9-14'!C146</f>
        <v>1261</v>
      </c>
      <c r="G108" s="912"/>
    </row>
    <row r="109" spans="1:7" x14ac:dyDescent="0.2">
      <c r="A109" s="908" t="s">
        <v>673</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0</v>
      </c>
      <c r="G110" s="912"/>
    </row>
    <row r="111" spans="1:7" x14ac:dyDescent="0.2">
      <c r="A111" s="908" t="s">
        <v>668</v>
      </c>
      <c r="B111" s="908" t="s">
        <v>2005</v>
      </c>
      <c r="C111" s="922">
        <v>3500</v>
      </c>
      <c r="D111" s="911" t="str">
        <f>'Revenues 9-14'!A155</f>
        <v>Total Transportation</v>
      </c>
      <c r="E111" s="906"/>
      <c r="F111" s="1788">
        <f>SUM('Revenues 9-14'!C155,'Revenues 9-14'!D155,'Revenues 9-14'!F155,'Revenues 9-14'!G155)</f>
        <v>0</v>
      </c>
      <c r="G111" s="912"/>
    </row>
    <row r="112" spans="1:7" x14ac:dyDescent="0.2">
      <c r="A112" s="908" t="s">
        <v>459</v>
      </c>
      <c r="B112" s="908" t="s">
        <v>2006</v>
      </c>
      <c r="C112" s="920">
        <f>'Revenues 9-14'!B156</f>
        <v>3610</v>
      </c>
      <c r="D112" s="911" t="str">
        <f>'Revenues 9-14'!A156</f>
        <v>Learning Improvement - Change Grants</v>
      </c>
      <c r="E112" s="906"/>
      <c r="F112" s="1788">
        <f>'Revenues 9-14'!C156</f>
        <v>0</v>
      </c>
      <c r="G112" s="912"/>
    </row>
    <row r="113" spans="1:7" x14ac:dyDescent="0.2">
      <c r="A113" s="908" t="s">
        <v>668</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6">
        <f>SUM('Revenues 9-14'!C163:G163)</f>
        <v>0</v>
      </c>
      <c r="G118" s="912"/>
    </row>
    <row r="119" spans="1:7" x14ac:dyDescent="0.2">
      <c r="A119" s="923" t="s">
        <v>504</v>
      </c>
      <c r="B119" s="923" t="s">
        <v>2013</v>
      </c>
      <c r="C119" s="924">
        <f>'Revenues 9-14'!B164</f>
        <v>3815</v>
      </c>
      <c r="D119" s="925" t="str">
        <f>'Revenues 9-14'!A164</f>
        <v>State Charter Schools</v>
      </c>
      <c r="E119" s="906"/>
      <c r="F119" s="1906">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8">
        <f>'Revenues 9-14'!D167</f>
        <v>0</v>
      </c>
      <c r="G120" s="930"/>
    </row>
    <row r="121" spans="1:7" x14ac:dyDescent="0.2">
      <c r="A121" s="927" t="s">
        <v>500</v>
      </c>
      <c r="B121" s="927" t="s">
        <v>2015</v>
      </c>
      <c r="C121" s="928">
        <f>'Revenues 9-14'!B168</f>
        <v>3999</v>
      </c>
      <c r="D121" s="929" t="s">
        <v>543</v>
      </c>
      <c r="E121" s="931"/>
      <c r="F121" s="1788">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88">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2018</v>
      </c>
      <c r="C124" s="932">
        <v>4100</v>
      </c>
      <c r="D124" s="933" t="str">
        <f>'Revenues 9-14'!A188</f>
        <v>Total Title V</v>
      </c>
      <c r="E124" s="906"/>
      <c r="F124" s="1788">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8">
        <f>SUM('Revenues 9-14'!C198,'Revenues 9-14'!G198)</f>
        <v>60752</v>
      </c>
      <c r="G125" s="930"/>
    </row>
    <row r="126" spans="1:7" x14ac:dyDescent="0.2">
      <c r="A126" s="927" t="s">
        <v>668</v>
      </c>
      <c r="B126" s="927" t="s">
        <v>2020</v>
      </c>
      <c r="C126" s="932">
        <v>4300</v>
      </c>
      <c r="D126" s="933" t="str">
        <f>'Revenues 9-14'!A204</f>
        <v>Total Title I</v>
      </c>
      <c r="E126" s="906"/>
      <c r="F126" s="1788">
        <f>SUM('Revenues 9-14'!C204,'Revenues 9-14'!D204,'Revenues 9-14'!F204,'Revenues 9-14'!G204)</f>
        <v>0</v>
      </c>
      <c r="G126" s="930"/>
    </row>
    <row r="127" spans="1:7" x14ac:dyDescent="0.2">
      <c r="A127" s="927" t="s">
        <v>668</v>
      </c>
      <c r="B127" s="927" t="s">
        <v>2021</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8">
        <f>SUM('Revenues 9-14'!C213:D213,'Revenues 9-14'!F213:G213)</f>
        <v>3262069</v>
      </c>
      <c r="G128" s="930"/>
    </row>
    <row r="129" spans="1:7" x14ac:dyDescent="0.2">
      <c r="A129" s="927" t="s">
        <v>668</v>
      </c>
      <c r="B129" s="927" t="s">
        <v>2023</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2040</v>
      </c>
      <c r="C157" s="940" t="s">
        <v>841</v>
      </c>
      <c r="D157" s="941" t="s">
        <v>777</v>
      </c>
      <c r="E157" s="942"/>
      <c r="F157" s="1788">
        <f>SUM(F133:F156)</f>
        <v>0</v>
      </c>
      <c r="G157" s="905"/>
    </row>
    <row r="158" spans="1:7" s="867" customFormat="1" x14ac:dyDescent="0.2">
      <c r="A158" s="938" t="s">
        <v>459</v>
      </c>
      <c r="B158" s="939" t="s">
        <v>2041</v>
      </c>
      <c r="C158" s="940" t="s">
        <v>1427</v>
      </c>
      <c r="D158" s="941" t="s">
        <v>1428</v>
      </c>
      <c r="E158" s="942"/>
      <c r="F158" s="1788">
        <f>SUM('Revenues 9-14'!C253)</f>
        <v>0</v>
      </c>
      <c r="G158" s="905"/>
    </row>
    <row r="159" spans="1:7" s="867" customFormat="1" x14ac:dyDescent="0.2">
      <c r="A159" s="938" t="s">
        <v>500</v>
      </c>
      <c r="B159" s="939" t="s">
        <v>2042</v>
      </c>
      <c r="C159" s="940" t="s">
        <v>1466</v>
      </c>
      <c r="D159" s="941" t="s">
        <v>1467</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6">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8">
        <f>SUM('Revenues 9-14'!C263:D263,'Revenues 9-14'!F263:G263)</f>
        <v>87172</v>
      </c>
      <c r="G168" s="947">
        <v>6320</v>
      </c>
    </row>
    <row r="169" spans="1:7" x14ac:dyDescent="0.2">
      <c r="A169" s="927" t="s">
        <v>668</v>
      </c>
      <c r="B169" s="927" t="s">
        <v>2050</v>
      </c>
      <c r="C169" s="932">
        <f>'Revenues 9-14'!B264</f>
        <v>4992</v>
      </c>
      <c r="D169" s="933" t="str">
        <f>'Revenues 9-14'!A264</f>
        <v>Medicaid Matching Funds - Fee-for-Service Program</v>
      </c>
      <c r="E169" s="906"/>
      <c r="F169" s="1788">
        <f>SUM('Revenues 9-14'!C264:D264,'Revenues 9-14'!F264:G264)</f>
        <v>393170</v>
      </c>
      <c r="G169" s="947"/>
    </row>
    <row r="170" spans="1:7" x14ac:dyDescent="0.2">
      <c r="A170" s="948" t="s">
        <v>668</v>
      </c>
      <c r="B170" s="944" t="s">
        <v>2051</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1916</v>
      </c>
      <c r="C171" s="1919">
        <v>3100</v>
      </c>
      <c r="D171" s="1920" t="s">
        <v>1918</v>
      </c>
      <c r="E171" s="906"/>
      <c r="F171" s="1905"/>
      <c r="G171" s="927"/>
    </row>
    <row r="172" spans="1:7" x14ac:dyDescent="0.2">
      <c r="A172" s="1917" t="s">
        <v>664</v>
      </c>
      <c r="B172" s="1918" t="s">
        <v>1916</v>
      </c>
      <c r="C172" s="1919">
        <v>3300</v>
      </c>
      <c r="D172" s="1920" t="s">
        <v>1919</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958</v>
      </c>
      <c r="F174" s="1787">
        <f>SUM(F84:F132,F157:F172)</f>
        <v>5398792</v>
      </c>
    </row>
    <row r="175" spans="1:7" ht="12" customHeight="1" x14ac:dyDescent="0.2">
      <c r="A175" s="1769"/>
      <c r="B175" s="1783"/>
      <c r="C175" s="1784"/>
      <c r="D175" s="1785" t="s">
        <v>2053</v>
      </c>
      <c r="E175" s="1786"/>
      <c r="F175" s="1788">
        <f>'PCTC-OEPP 27-28'!F77-F174</f>
        <v>2926595</v>
      </c>
    </row>
    <row r="176" spans="1:7" ht="12" customHeight="1" x14ac:dyDescent="0.2">
      <c r="A176" s="1769"/>
      <c r="B176" s="1783"/>
      <c r="C176" s="1784"/>
      <c r="D176" s="1785" t="s">
        <v>1814</v>
      </c>
      <c r="E176" s="1786"/>
      <c r="F176" s="1788">
        <f>'Cap Outlay Deprec 26'!I18</f>
        <v>56964</v>
      </c>
    </row>
    <row r="177" spans="1:7" ht="12" customHeight="1" x14ac:dyDescent="0.2">
      <c r="A177" s="1769"/>
      <c r="B177" s="1783"/>
      <c r="C177" s="1784"/>
      <c r="D177" s="1785" t="s">
        <v>2054</v>
      </c>
      <c r="E177" s="1786"/>
      <c r="F177" s="1788">
        <f>F175+F176</f>
        <v>2983559</v>
      </c>
    </row>
    <row r="178" spans="1:7" ht="12" customHeight="1" x14ac:dyDescent="0.2">
      <c r="A178" s="1769"/>
      <c r="B178" s="1789"/>
      <c r="C178" s="1784"/>
      <c r="D178" s="1785" t="str">
        <f>D78</f>
        <v>9 Month ADA from District Average Daily Attendance/Prior General State Aid Inquiry 2018-2019</v>
      </c>
      <c r="E178" s="1786"/>
      <c r="F178" s="1790">
        <f>'PCTC-OEPP 27-28'!F78</f>
        <v>0</v>
      </c>
      <c r="G178" s="930"/>
    </row>
    <row r="179" spans="1:7" ht="12" customHeight="1" thickBot="1" x14ac:dyDescent="0.25">
      <c r="A179" s="1769"/>
      <c r="B179" s="1789"/>
      <c r="C179" s="1784"/>
      <c r="D179" s="1785" t="s">
        <v>2055</v>
      </c>
      <c r="E179" s="1786" t="s">
        <v>1545</v>
      </c>
      <c r="F179" s="1791"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1" bottom="0.61" header="0.69" footer="0.32"/>
  <pageSetup scale="70" firstPageNumber="35" orientation="portrait" useFirstPageNumber="1" r:id="rId2"/>
  <headerFooter alignWithMargins="0">
    <oddHeader>&amp;CKaskaskia Special Education District #801</oddHeader>
    <oddFooter xml:space="preserve">&amp;L&amp;8See accompanying notes to the financial statements.
</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7"/>
  <sheetViews>
    <sheetView showGridLines="0" zoomScaleNormal="100" workbookViewId="0">
      <selection activeCell="G17" sqref="G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8" t="s">
        <v>1829</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68" t="s">
        <v>1815</v>
      </c>
      <c r="B4" s="2269"/>
      <c r="C4" s="2269"/>
      <c r="D4" s="2269"/>
      <c r="E4" s="2269"/>
      <c r="F4" s="2269"/>
      <c r="G4" s="2270"/>
    </row>
    <row r="5" spans="1:7" x14ac:dyDescent="0.25">
      <c r="A5" s="2271"/>
      <c r="B5" s="2272"/>
      <c r="C5" s="2272"/>
      <c r="D5" s="2272"/>
      <c r="E5" s="2272"/>
      <c r="F5" s="2272"/>
      <c r="G5" s="2273"/>
    </row>
    <row r="6" spans="1:7" ht="18.75" x14ac:dyDescent="0.25">
      <c r="A6" s="1534" t="s">
        <v>1816</v>
      </c>
      <c r="B6" s="1535"/>
      <c r="C6" s="1535"/>
      <c r="D6" s="1535"/>
      <c r="E6" s="1535"/>
      <c r="F6" s="1535"/>
      <c r="G6" s="1536"/>
    </row>
    <row r="7" spans="1:7" ht="30.75" customHeight="1" x14ac:dyDescent="0.25">
      <c r="A7" s="2274" t="s">
        <v>1928</v>
      </c>
      <c r="B7" s="2275"/>
      <c r="C7" s="2275"/>
      <c r="D7" s="2275"/>
      <c r="E7" s="2275"/>
      <c r="F7" s="2275"/>
      <c r="G7" s="2276"/>
    </row>
    <row r="8" spans="1:7" ht="15.75" customHeight="1" x14ac:dyDescent="0.25">
      <c r="A8" s="2277" t="s">
        <v>1903</v>
      </c>
      <c r="B8" s="2278"/>
      <c r="C8" s="2278"/>
      <c r="D8" s="2278"/>
      <c r="E8" s="2278"/>
      <c r="F8" s="2278"/>
      <c r="G8" s="2279"/>
    </row>
    <row r="9" spans="1:7" ht="35.25" customHeight="1" x14ac:dyDescent="0.25">
      <c r="A9" s="2274" t="s">
        <v>1931</v>
      </c>
      <c r="B9" s="2275"/>
      <c r="C9" s="2275"/>
      <c r="D9" s="2275"/>
      <c r="E9" s="2275"/>
      <c r="F9" s="2275"/>
      <c r="G9" s="2276"/>
    </row>
    <row r="10" spans="1:7" ht="15" customHeight="1" x14ac:dyDescent="0.25">
      <c r="A10" s="1537" t="s">
        <v>1817</v>
      </c>
      <c r="B10" s="1538"/>
      <c r="C10" s="1538"/>
      <c r="D10" s="1538"/>
      <c r="E10" s="1538"/>
      <c r="F10" s="1538"/>
      <c r="G10" s="1539"/>
    </row>
    <row r="11" spans="1:7" ht="17.25" customHeight="1" x14ac:dyDescent="0.25">
      <c r="A11" s="2274" t="s">
        <v>1930</v>
      </c>
      <c r="B11" s="2275"/>
      <c r="C11" s="2275"/>
      <c r="D11" s="2275"/>
      <c r="E11" s="2275"/>
      <c r="F11" s="2275"/>
      <c r="G11" s="2276"/>
    </row>
    <row r="12" spans="1:7" ht="15" customHeight="1" x14ac:dyDescent="0.25">
      <c r="A12" s="1537" t="s">
        <v>1822</v>
      </c>
      <c r="B12" s="1538"/>
      <c r="C12" s="1538"/>
      <c r="D12" s="1538"/>
      <c r="E12" s="1538"/>
      <c r="F12" s="1538"/>
      <c r="G12" s="1539"/>
    </row>
    <row r="13" spans="1:7" ht="32.25" customHeight="1" x14ac:dyDescent="0.25">
      <c r="A13" s="2265" t="s">
        <v>1972</v>
      </c>
      <c r="B13" s="2266"/>
      <c r="C13" s="2266"/>
      <c r="D13" s="2266"/>
      <c r="E13" s="2266"/>
      <c r="F13" s="2266"/>
      <c r="G13" s="2267"/>
    </row>
    <row r="14" spans="1:7" x14ac:dyDescent="0.25">
      <c r="A14" s="1660" t="s">
        <v>1830</v>
      </c>
      <c r="B14" s="1661"/>
      <c r="C14" s="1661"/>
      <c r="D14" s="1661"/>
      <c r="E14" s="1661"/>
      <c r="F14" s="1661"/>
      <c r="G14" s="1662"/>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6" t="s">
        <v>2127</v>
      </c>
      <c r="B17" s="1937" t="s">
        <v>2128</v>
      </c>
      <c r="C17" s="1938" t="s">
        <v>2129</v>
      </c>
      <c r="D17" s="1843">
        <v>10700</v>
      </c>
      <c r="E17" s="1540">
        <f t="shared" ref="E17:E37" si="0">IF(D17&lt;=25000,D17,IF(D17&gt;25000,25000,0))</f>
        <v>10700</v>
      </c>
      <c r="F17" s="1931">
        <f t="shared" ref="F17:F22"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10700</v>
      </c>
      <c r="G17" s="1792">
        <f>IF(F17=0,0,D17-F17)</f>
        <v>0</v>
      </c>
      <c r="H17" s="1647"/>
    </row>
    <row r="18" spans="1:8" x14ac:dyDescent="0.25">
      <c r="A18" s="1653"/>
      <c r="B18" s="1933"/>
      <c r="C18" s="1655"/>
      <c r="D18" s="1843"/>
      <c r="E18" s="1540">
        <f t="shared" ref="E18:E36" si="2">IF(D18&lt;=25000,D18,IF(D18&gt;25000,25000,0))</f>
        <v>0</v>
      </c>
      <c r="F18" s="1931">
        <f t="shared" si="1"/>
        <v>0</v>
      </c>
      <c r="G18" s="1792">
        <f t="shared" ref="G18:G36" si="3">IF(F18=0,0,D18-F18)</f>
        <v>0</v>
      </c>
    </row>
    <row r="19" spans="1:8" x14ac:dyDescent="0.25">
      <c r="A19" s="1653"/>
      <c r="B19" s="1933"/>
      <c r="C19" s="1655"/>
      <c r="D19" s="1843"/>
      <c r="E19" s="1540">
        <f t="shared" si="2"/>
        <v>0</v>
      </c>
      <c r="F19" s="1931">
        <f t="shared" si="1"/>
        <v>0</v>
      </c>
      <c r="G19" s="1792">
        <f t="shared" si="3"/>
        <v>0</v>
      </c>
    </row>
    <row r="20" spans="1:8" x14ac:dyDescent="0.25">
      <c r="A20" s="1653"/>
      <c r="B20" s="1933"/>
      <c r="C20" s="1655"/>
      <c r="D20" s="1843"/>
      <c r="E20" s="1540">
        <f t="shared" si="2"/>
        <v>0</v>
      </c>
      <c r="F20" s="1931">
        <f t="shared" si="1"/>
        <v>0</v>
      </c>
      <c r="G20" s="1792">
        <f t="shared" si="3"/>
        <v>0</v>
      </c>
    </row>
    <row r="21" spans="1:8" x14ac:dyDescent="0.25">
      <c r="A21" s="1653"/>
      <c r="B21" s="1933"/>
      <c r="C21" s="1655"/>
      <c r="D21" s="1843"/>
      <c r="E21" s="1540">
        <f t="shared" si="2"/>
        <v>0</v>
      </c>
      <c r="F21" s="1931">
        <f t="shared" si="1"/>
        <v>0</v>
      </c>
      <c r="G21" s="1792">
        <f t="shared" si="3"/>
        <v>0</v>
      </c>
    </row>
    <row r="22" spans="1:8" x14ac:dyDescent="0.25">
      <c r="A22" s="1653"/>
      <c r="B22" s="1933"/>
      <c r="C22" s="1655"/>
      <c r="D22" s="1843"/>
      <c r="E22" s="1540">
        <f t="shared" si="2"/>
        <v>0</v>
      </c>
      <c r="F22" s="1931">
        <f t="shared" si="1"/>
        <v>0</v>
      </c>
      <c r="G22" s="1792">
        <f t="shared" si="3"/>
        <v>0</v>
      </c>
    </row>
    <row r="23" spans="1:8" x14ac:dyDescent="0.25">
      <c r="A23" s="1653"/>
      <c r="B23" s="1666"/>
      <c r="C23" s="1654"/>
      <c r="D23" s="1843"/>
      <c r="E23" s="1540">
        <f t="shared" ref="E23:E30" si="4">IF(D23&lt;=25000,D23,IF(D23&gt;25000,25000,0))</f>
        <v>0</v>
      </c>
      <c r="F23" s="1931">
        <f t="shared" ref="F23:F36" si="5">IF(OR(B23="10-1000-100",B23="10-1000-200",B23="10-1000-300",B23="10-1000-400",B23="10-1000-600",B23="10-1000-800",B23="50-1000-200",B23="10-2100-100",B23="10-2100-200",B23="10-2100-300",B23="10-2100-400",B23="10-2100-600",B23="10-2100-800",B23="20-2100-100",B23="20-2100-200",B23="20-2100-300",B23="20-2100-400",B23="20-2100-600",B23="20-2100-800",B23="40-2100-100",B23="40-2100-200",B23="40-2100-300",B23="40-2100-400",B23="40-2100-600",B23="40-2100-800",B23="50-2100-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10-2540-800",B23="20-2540-100",B23="20-2540-200",B23="20-2540-300",B23="20-2540-400",B23="20-2540-600",B23="20-2540-800",B23="50-2540-200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10-3000-100",B23="10-3000-200",B23="10-3000-300",B23="10-3000-400",B23="10-3000-600",B23="10-3000-800",B23="20-3000-100",B23="20-3000-200",B23="20-3000-300",B23="20-3000-400",B23="20-3000-600",B23="20-3000-800",B23="40-3000-100",B23="40-3000-200",B23="40-3000-300",B23="40-3000-400",B23="40-3000-600",B23="40-3000-800",B23="50-3000-200"),E23,0)</f>
        <v>0</v>
      </c>
      <c r="G23" s="1792">
        <f t="shared" ref="G23:G30" si="6">IF(F23=0,0,D23-F23)</f>
        <v>0</v>
      </c>
    </row>
    <row r="24" spans="1:8" x14ac:dyDescent="0.25">
      <c r="A24" s="1653"/>
      <c r="B24" s="1666"/>
      <c r="C24" s="1654"/>
      <c r="D24" s="1843"/>
      <c r="E24" s="1540">
        <f t="shared" si="4"/>
        <v>0</v>
      </c>
      <c r="F24" s="1931">
        <f t="shared" si="5"/>
        <v>0</v>
      </c>
      <c r="G24" s="1792">
        <f t="shared" si="6"/>
        <v>0</v>
      </c>
    </row>
    <row r="25" spans="1:8" x14ac:dyDescent="0.25">
      <c r="A25" s="1653"/>
      <c r="B25" s="1666"/>
      <c r="C25" s="1654"/>
      <c r="D25" s="1843"/>
      <c r="E25" s="1540">
        <f t="shared" si="4"/>
        <v>0</v>
      </c>
      <c r="F25" s="1931">
        <f t="shared" si="5"/>
        <v>0</v>
      </c>
      <c r="G25" s="1792">
        <f t="shared" si="6"/>
        <v>0</v>
      </c>
    </row>
    <row r="26" spans="1:8" x14ac:dyDescent="0.25">
      <c r="A26" s="1653"/>
      <c r="B26" s="1666"/>
      <c r="C26" s="1654"/>
      <c r="D26" s="1843"/>
      <c r="E26" s="1540">
        <f t="shared" si="4"/>
        <v>0</v>
      </c>
      <c r="F26" s="1931">
        <f t="shared" si="5"/>
        <v>0</v>
      </c>
      <c r="G26" s="1792">
        <f t="shared" si="6"/>
        <v>0</v>
      </c>
    </row>
    <row r="27" spans="1:8" x14ac:dyDescent="0.25">
      <c r="A27" s="1653"/>
      <c r="B27" s="1836"/>
      <c r="C27" s="1654"/>
      <c r="D27" s="1843"/>
      <c r="E27" s="1540">
        <f t="shared" si="4"/>
        <v>0</v>
      </c>
      <c r="F27" s="1931">
        <f t="shared" si="5"/>
        <v>0</v>
      </c>
      <c r="G27" s="1792">
        <f t="shared" si="6"/>
        <v>0</v>
      </c>
    </row>
    <row r="28" spans="1:8" x14ac:dyDescent="0.25">
      <c r="A28" s="1653"/>
      <c r="B28" s="1836"/>
      <c r="C28" s="1654"/>
      <c r="D28" s="1843"/>
      <c r="E28" s="1540">
        <f t="shared" si="4"/>
        <v>0</v>
      </c>
      <c r="F28" s="1931">
        <f t="shared" si="5"/>
        <v>0</v>
      </c>
      <c r="G28" s="1792">
        <f t="shared" si="6"/>
        <v>0</v>
      </c>
    </row>
    <row r="29" spans="1:8" x14ac:dyDescent="0.25">
      <c r="A29" s="1653"/>
      <c r="B29" s="1666"/>
      <c r="C29" s="1654"/>
      <c r="D29" s="1843"/>
      <c r="E29" s="1540">
        <f t="shared" si="4"/>
        <v>0</v>
      </c>
      <c r="F29" s="1931">
        <f t="shared" si="5"/>
        <v>0</v>
      </c>
      <c r="G29" s="1792">
        <f t="shared" si="6"/>
        <v>0</v>
      </c>
    </row>
    <row r="30" spans="1:8" x14ac:dyDescent="0.25">
      <c r="A30" s="1653"/>
      <c r="B30" s="1666"/>
      <c r="C30" s="1654"/>
      <c r="D30" s="1843"/>
      <c r="E30" s="1540">
        <f t="shared" si="4"/>
        <v>0</v>
      </c>
      <c r="F30" s="1931">
        <f t="shared" si="5"/>
        <v>0</v>
      </c>
      <c r="G30" s="1792">
        <f t="shared" si="6"/>
        <v>0</v>
      </c>
    </row>
    <row r="31" spans="1:8" x14ac:dyDescent="0.25">
      <c r="A31" s="1653"/>
      <c r="B31" s="1666"/>
      <c r="C31" s="1654"/>
      <c r="D31" s="1843"/>
      <c r="E31" s="1540">
        <f t="shared" ref="E31:E35" si="7">IF(D31&lt;=25000,D31,IF(D31&gt;25000,25000,0))</f>
        <v>0</v>
      </c>
      <c r="F31" s="1931">
        <f t="shared" si="5"/>
        <v>0</v>
      </c>
      <c r="G31" s="1792">
        <f t="shared" ref="G31:G35" si="8">IF(F31=0,0,D31-F31)</f>
        <v>0</v>
      </c>
    </row>
    <row r="32" spans="1:8" x14ac:dyDescent="0.25">
      <c r="A32" s="1653"/>
      <c r="B32" s="1666"/>
      <c r="C32" s="1654"/>
      <c r="D32" s="1843"/>
      <c r="E32" s="1540">
        <f t="shared" si="7"/>
        <v>0</v>
      </c>
      <c r="F32" s="1931">
        <f t="shared" si="5"/>
        <v>0</v>
      </c>
      <c r="G32" s="1792">
        <f t="shared" si="8"/>
        <v>0</v>
      </c>
    </row>
    <row r="33" spans="1:7" x14ac:dyDescent="0.25">
      <c r="A33" s="1653"/>
      <c r="B33" s="1666"/>
      <c r="C33" s="1654"/>
      <c r="D33" s="1843"/>
      <c r="E33" s="1540">
        <f t="shared" si="7"/>
        <v>0</v>
      </c>
      <c r="F33" s="1931">
        <f t="shared" si="5"/>
        <v>0</v>
      </c>
      <c r="G33" s="1792">
        <f t="shared" si="8"/>
        <v>0</v>
      </c>
    </row>
    <row r="34" spans="1:7" x14ac:dyDescent="0.25">
      <c r="A34" s="1653"/>
      <c r="B34" s="1666"/>
      <c r="C34" s="1654"/>
      <c r="D34" s="1843"/>
      <c r="E34" s="1540">
        <f t="shared" si="7"/>
        <v>0</v>
      </c>
      <c r="F34" s="1931">
        <f t="shared" si="5"/>
        <v>0</v>
      </c>
      <c r="G34" s="1792">
        <f t="shared" si="8"/>
        <v>0</v>
      </c>
    </row>
    <row r="35" spans="1:7" x14ac:dyDescent="0.25">
      <c r="A35" s="1653"/>
      <c r="B35" s="1666"/>
      <c r="C35" s="1654"/>
      <c r="D35" s="1843"/>
      <c r="E35" s="1540">
        <f t="shared" si="7"/>
        <v>0</v>
      </c>
      <c r="F35" s="1931">
        <f t="shared" si="5"/>
        <v>0</v>
      </c>
      <c r="G35" s="1792">
        <f t="shared" si="8"/>
        <v>0</v>
      </c>
    </row>
    <row r="36" spans="1:7" x14ac:dyDescent="0.25">
      <c r="A36" s="1653"/>
      <c r="B36" s="1665"/>
      <c r="C36" s="1654"/>
      <c r="D36" s="1843"/>
      <c r="E36" s="1540">
        <f t="shared" si="2"/>
        <v>0</v>
      </c>
      <c r="F36" s="1931">
        <f t="shared" si="5"/>
        <v>0</v>
      </c>
      <c r="G36" s="1792">
        <f t="shared" si="3"/>
        <v>0</v>
      </c>
    </row>
    <row r="37" spans="1:7" x14ac:dyDescent="0.25">
      <c r="A37" s="1795" t="s">
        <v>156</v>
      </c>
      <c r="B37" s="1796"/>
      <c r="C37" s="1797"/>
      <c r="D37" s="1793">
        <f>SUM(D17:D36)</f>
        <v>10700</v>
      </c>
      <c r="E37" s="1541">
        <f t="shared" si="0"/>
        <v>10700</v>
      </c>
      <c r="F37" s="1932">
        <f>SUM(F17:F36)</f>
        <v>10700</v>
      </c>
      <c r="G37" s="1794">
        <f>SUM(G17:G36)</f>
        <v>0</v>
      </c>
    </row>
  </sheetData>
  <sheetProtection selectLockedCells="1"/>
  <mergeCells count="6">
    <mergeCell ref="A13:G13"/>
    <mergeCell ref="A4:G5"/>
    <mergeCell ref="A11:G11"/>
    <mergeCell ref="A7:G7"/>
    <mergeCell ref="A8:G8"/>
    <mergeCell ref="A9:G9"/>
  </mergeCells>
  <pageMargins left="0.44" right="0.2" top="0.5" bottom="0" header="0.3" footer="0.3"/>
  <pageSetup scale="80" firstPageNumber="31" fitToHeight="0" orientation="landscape" useFirstPageNumber="1" r:id="rId1"/>
  <headerFooter>
    <oddHeader>&amp;CKaskaskia Special Education District #801</oddHeader>
    <oddFooter>&amp;L&amp;9See accompanying notes to the financial statements.
&amp;C-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view="pageLayout" topLeftCell="A17" colorId="8"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42988</v>
      </c>
      <c r="F10" s="974"/>
      <c r="G10" s="975"/>
      <c r="H10" s="162"/>
      <c r="I10" s="162"/>
    </row>
    <row r="11" spans="1:9" s="668" customFormat="1" ht="22.5" customHeight="1" x14ac:dyDescent="0.2">
      <c r="A11" s="2285" t="s">
        <v>1973</v>
      </c>
      <c r="B11" s="2286"/>
      <c r="C11" s="2286"/>
      <c r="D11" s="2287"/>
      <c r="E11" s="977">
        <v>3668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2812294</v>
      </c>
      <c r="F19" s="1798"/>
      <c r="G19" s="1800">
        <f>'Expenditures 15-22'!K33-SUM('Expenditures 15-22'!G33,'Expenditures 15-22'!I33)+'Expenditures 15-22'!D229</f>
        <v>2812294</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3154657</v>
      </c>
      <c r="F21" s="1801"/>
      <c r="G21" s="1804">
        <f>'Expenditures 15-22'!K42-SUM('Expenditures 15-22'!G42,'Expenditures 15-22'!I42)+'Expenditures 15-22'!K120-SUM('Expenditures 15-22'!G120,'Expenditures 15-22'!I120)+'Expenditures 15-22'!K180-SUM('Expenditures 15-22'!G180,'Expenditures 15-22'!I180)+'Expenditures 15-22'!D238</f>
        <v>3154657</v>
      </c>
      <c r="H21" s="987"/>
      <c r="I21" s="162"/>
    </row>
    <row r="22" spans="1:9" s="668" customFormat="1" ht="12" customHeight="1" x14ac:dyDescent="0.2">
      <c r="A22" s="994" t="s">
        <v>564</v>
      </c>
      <c r="B22" s="995"/>
      <c r="C22" s="993">
        <v>2200</v>
      </c>
      <c r="D22" s="1801"/>
      <c r="E22" s="1803">
        <f>'Expenditures 15-22'!K47-SUM('Expenditures 15-22'!G47,'Expenditures 15-22'!I47)+'Expenditures 15-22'!D243</f>
        <v>301543</v>
      </c>
      <c r="F22" s="1801"/>
      <c r="G22" s="1804">
        <f>'Expenditures 15-22'!K47-SUM('Expenditures 15-22'!G47,'Expenditures 15-22'!I47)+'Expenditures 15-22'!D243</f>
        <v>301543</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458942</v>
      </c>
      <c r="F23" s="1801"/>
      <c r="G23" s="1803">
        <f>'Expenditures 15-22'!K53-SUM('Expenditures 15-22'!G53,'Expenditures 15-22'!I53)+'Expenditures 15-22'!D257+'Expenditures 15-22'!K330-SUM('Expenditures 15-22'!G330,'Expenditures 15-22'!I330)</f>
        <v>458942</v>
      </c>
      <c r="H23" s="987"/>
      <c r="I23" s="162"/>
    </row>
    <row r="24" spans="1:9" s="668" customFormat="1" ht="12" customHeight="1" x14ac:dyDescent="0.2">
      <c r="A24" s="994" t="s">
        <v>566</v>
      </c>
      <c r="B24" s="995"/>
      <c r="C24" s="993">
        <v>2400</v>
      </c>
      <c r="D24" s="1801"/>
      <c r="E24" s="1803">
        <f>'Expenditures 15-22'!K57-SUM('Expenditures 15-22'!G57,'Expenditures 15-22'!I57)+'Expenditures 15-22'!D261</f>
        <v>571832</v>
      </c>
      <c r="F24" s="1801"/>
      <c r="G24" s="1804">
        <f>'Expenditures 15-22'!K57-SUM('Expenditures 15-22'!G57,'Expenditures 15-22'!I57)+'Expenditures 15-22'!D261</f>
        <v>571832</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194387</v>
      </c>
      <c r="E27" s="1803">
        <f>E8</f>
        <v>0</v>
      </c>
      <c r="F27" s="1803">
        <f>'Expenditures 15-22'!K60-SUM('Expenditures 15-22'!G60,'Expenditures 15-22'!I60)+'Expenditures 15-22'!D264-E8</f>
        <v>194387</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666403</v>
      </c>
      <c r="F28" s="1805">
        <f>'Expenditures 15-22'!K61-SUM('Expenditures 15-22'!G61,'Expenditures 15-22'!I61)+'Expenditures 15-22'!K124-SUM('Expenditures 15-22'!G124,'Expenditures 15-22'!I124)+'Expenditures 15-22'!D266-E9</f>
        <v>666403</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64605</v>
      </c>
      <c r="F29" s="1801"/>
      <c r="G29" s="1804">
        <f>'Expenditures 15-22'!K62-SUM('Expenditures 15-22'!G62,'Expenditures 15-22'!I62)+'Expenditures 15-22'!K125-SUM('Expenditures 15-22'!G125,'Expenditures 15-22'!I125)+'Expenditures 15-22'!K182-SUM('Expenditures 15-22'!G182,'Expenditures 15-22'!I182)+'Expenditures 15-22'!D267</f>
        <v>64605</v>
      </c>
      <c r="H29" s="985"/>
    </row>
    <row r="30" spans="1:9" ht="12" customHeight="1" x14ac:dyDescent="0.2">
      <c r="A30" s="994" t="s">
        <v>100</v>
      </c>
      <c r="B30" s="997"/>
      <c r="C30" s="993">
        <v>2560</v>
      </c>
      <c r="D30" s="1801"/>
      <c r="E30" s="1803">
        <f>'Expenditures 15-22'!K63-SUM('Expenditures 15-22'!G63,'Expenditures 15-22'!I63)+'Expenditures 15-22'!D268-E10</f>
        <v>42309</v>
      </c>
      <c r="F30" s="1801"/>
      <c r="G30" s="1803">
        <f>'Expenditures 15-22'!K63-SUM('Expenditures 15-22'!G63,'Expenditures 15-22'!I63)+'Expenditures 15-22'!D268-E10</f>
        <v>42309</v>
      </c>
    </row>
    <row r="31" spans="1:9" ht="12" customHeight="1" x14ac:dyDescent="0.2">
      <c r="A31" s="994" t="s">
        <v>101</v>
      </c>
      <c r="B31" s="997"/>
      <c r="C31" s="993">
        <v>2570</v>
      </c>
      <c r="D31" s="1803">
        <f>'Expenditures 15-22'!K64-SUM('Expenditures 15-22'!G64,'Expenditures 15-22'!I64)+'Expenditures 15-22'!D269-E12</f>
        <v>15387</v>
      </c>
      <c r="E31" s="1803">
        <f>E12</f>
        <v>0</v>
      </c>
      <c r="F31" s="1803">
        <f>'Expenditures 15-22'!K64-SUM('Expenditures 15-22'!G64,'Expenditures 15-22'!I64)+'Expenditures 15-22'!D269-E12</f>
        <v>15387</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40</v>
      </c>
      <c r="F38" s="1801"/>
      <c r="G38" s="1803">
        <f>'Expenditures 15-22'!K73-SUM('Expenditures 15-22'!G73,'Expenditures 15-22'!I73)+'Expenditures 15-22'!K128-SUM('Expenditures 15-22'!G128,'Expenditures 15-22'!I128)+'Expenditures 15-22'!K183-SUM('Expenditures 15-22'!G183,'Expenditures 15-22'!I183)+'Expenditures 15-22'!D278</f>
        <v>40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1"/>
      <c r="E40" s="1805">
        <f>-'Contracts Paid in CY 29'!G37</f>
        <v>0</v>
      </c>
      <c r="F40" s="1801"/>
      <c r="G40" s="1805">
        <f>-'Contracts Paid in CY 29'!G37</f>
        <v>0</v>
      </c>
    </row>
    <row r="41" spans="1:7" ht="12" customHeight="1" x14ac:dyDescent="0.2">
      <c r="A41" s="998" t="s">
        <v>156</v>
      </c>
      <c r="B41" s="999"/>
      <c r="C41" s="1000"/>
      <c r="D41" s="1805">
        <f>SUM(D19:D39)</f>
        <v>209774</v>
      </c>
      <c r="E41" s="1805">
        <f>SUM(E19:E40)</f>
        <v>8072625</v>
      </c>
      <c r="F41" s="1805">
        <f>SUM(F19:F39)</f>
        <v>876177</v>
      </c>
      <c r="G41" s="1805">
        <f>SUM(G19:G40)</f>
        <v>7406222</v>
      </c>
    </row>
    <row r="42" spans="1:7" x14ac:dyDescent="0.2">
      <c r="A42" s="987"/>
      <c r="B42" s="162"/>
      <c r="C42" s="1001"/>
      <c r="D42" s="2283" t="s">
        <v>522</v>
      </c>
      <c r="E42" s="2284"/>
      <c r="F42" s="1002" t="s">
        <v>523</v>
      </c>
      <c r="G42" s="1003"/>
    </row>
    <row r="43" spans="1:7" ht="12" customHeight="1" x14ac:dyDescent="0.2">
      <c r="A43" s="987"/>
      <c r="B43" s="162"/>
      <c r="C43" s="1001"/>
      <c r="D43" s="1806" t="s">
        <v>473</v>
      </c>
      <c r="E43" s="1807">
        <f>D41</f>
        <v>209774</v>
      </c>
      <c r="F43" s="1806" t="s">
        <v>473</v>
      </c>
      <c r="G43" s="1807">
        <f>F41</f>
        <v>876177</v>
      </c>
    </row>
    <row r="44" spans="1:7" ht="12" customHeight="1" x14ac:dyDescent="0.2">
      <c r="A44" s="987"/>
      <c r="B44" s="162"/>
      <c r="C44" s="1001"/>
      <c r="D44" s="1806" t="s">
        <v>474</v>
      </c>
      <c r="E44" s="1807">
        <f>E41</f>
        <v>8072625</v>
      </c>
      <c r="F44" s="1806" t="s">
        <v>474</v>
      </c>
      <c r="G44" s="1807">
        <f>G41</f>
        <v>7406222</v>
      </c>
    </row>
    <row r="45" spans="1:7" ht="12" customHeight="1" x14ac:dyDescent="0.2">
      <c r="A45" s="987"/>
      <c r="B45" s="162"/>
      <c r="C45" s="162"/>
      <c r="D45" s="1808" t="s">
        <v>1006</v>
      </c>
      <c r="E45" s="1809">
        <f>(E43/E44)</f>
        <v>2.5985847230609621E-2</v>
      </c>
      <c r="F45" s="1808" t="s">
        <v>1006</v>
      </c>
      <c r="G45" s="1809">
        <f>(G43/G44)</f>
        <v>0.11830282700140503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1.1100000000000001" right="0" top="0.77" bottom="0.49" header="0.49" footer="0.22"/>
  <pageSetup scale="85" firstPageNumber="32" orientation="landscape" useFirstPageNumber="1" r:id="rId1"/>
  <headerFooter alignWithMargins="0">
    <oddHeader>&amp;C&amp;"Arial,Bold"Kaskaskia Special Education District #801
ESTIMATED INDIRECT COST DATA</oddHeader>
    <oddFooter>&amp;L&amp;9See accompanying notes to the financial statements.&amp;C- 32 -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D15" sqref="D15"/>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2" t="s">
        <v>1379</v>
      </c>
      <c r="B1" s="2302"/>
      <c r="C1" s="2302"/>
      <c r="D1" s="2302"/>
      <c r="E1" s="2302"/>
      <c r="F1" s="2302"/>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303" t="s">
        <v>1546</v>
      </c>
      <c r="B5" s="2304"/>
      <c r="C5" s="2305"/>
      <c r="D5" s="2305"/>
      <c r="E5" s="2305"/>
      <c r="F5" s="2305"/>
    </row>
    <row r="6" spans="1:10" ht="12" customHeight="1" x14ac:dyDescent="0.25">
      <c r="A6" s="1849"/>
      <c r="B6" s="1850"/>
      <c r="C6" s="2306" t="str">
        <f>COVER!A17</f>
        <v>Kaskaskia Spec Educ District</v>
      </c>
      <c r="D6" s="2306"/>
      <c r="E6" s="2306"/>
      <c r="F6" s="1851"/>
    </row>
    <row r="7" spans="1:10" ht="11.25" customHeight="1" thickBot="1" x14ac:dyDescent="0.3">
      <c r="A7" s="1849"/>
      <c r="B7" s="1850"/>
      <c r="C7" s="2307">
        <f>COVER!A13</f>
        <v>13058801060</v>
      </c>
      <c r="D7" s="2307"/>
      <c r="E7" s="2307"/>
      <c r="F7" s="1851"/>
    </row>
    <row r="8" spans="1:10" ht="25.5" customHeight="1" thickBot="1" x14ac:dyDescent="0.25">
      <c r="A8" s="1892" t="s">
        <v>1904</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t="s">
        <v>2061</v>
      </c>
      <c r="D14" s="1864" t="s">
        <v>2061</v>
      </c>
      <c r="E14" s="1867" t="s">
        <v>2061</v>
      </c>
      <c r="F14" s="1866" t="s">
        <v>2081</v>
      </c>
      <c r="H14" s="1877">
        <f t="shared" si="0"/>
        <v>5</v>
      </c>
      <c r="I14" s="1877">
        <f t="shared" si="1"/>
        <v>5</v>
      </c>
      <c r="J14" s="1877">
        <f t="shared" si="2"/>
        <v>5</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c r="D26" s="1864"/>
      <c r="E26" s="1867"/>
      <c r="F26" s="1866"/>
      <c r="H26" s="1877">
        <f t="shared" si="0"/>
        <v>0</v>
      </c>
      <c r="I26" s="1877">
        <f t="shared" si="1"/>
        <v>0</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5</v>
      </c>
      <c r="I34" s="1877">
        <f>SUM(I11:I32)</f>
        <v>5</v>
      </c>
      <c r="J34" s="1877">
        <f>SUM(J11:J32)</f>
        <v>5</v>
      </c>
      <c r="K34" s="1877">
        <f>SUM(H34:J34)</f>
        <v>15</v>
      </c>
    </row>
    <row r="35" spans="1:11" ht="12" customHeight="1" x14ac:dyDescent="0.2">
      <c r="A35" s="1870" t="s">
        <v>1392</v>
      </c>
      <c r="B35" s="1871"/>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2"/>
      <c r="B39" s="1872"/>
      <c r="C39" s="1872"/>
      <c r="D39" s="1872"/>
      <c r="E39" s="1872"/>
      <c r="F39" s="1872"/>
    </row>
    <row r="40" spans="1:11" s="1869" customFormat="1" ht="12" customHeight="1" x14ac:dyDescent="0.25">
      <c r="A40" s="1873" t="s">
        <v>1391</v>
      </c>
      <c r="B40" s="1874"/>
      <c r="C40" s="2297"/>
      <c r="D40" s="2297"/>
      <c r="E40" s="2297"/>
      <c r="F40" s="2298"/>
      <c r="H40" s="1878"/>
      <c r="I40" s="1878"/>
      <c r="J40" s="1878"/>
      <c r="K40" s="1878"/>
    </row>
    <row r="41" spans="1:11" s="1869" customFormat="1" ht="12" customHeight="1" x14ac:dyDescent="0.25">
      <c r="A41" s="2299"/>
      <c r="B41" s="2300"/>
      <c r="C41" s="2300"/>
      <c r="D41" s="2300"/>
      <c r="E41" s="2300"/>
      <c r="F41" s="2301"/>
      <c r="H41" s="1878"/>
      <c r="I41" s="1878"/>
      <c r="J41" s="1878"/>
      <c r="K41" s="1878"/>
    </row>
    <row r="42" spans="1:11" s="1869" customFormat="1" ht="12" customHeight="1" x14ac:dyDescent="0.25">
      <c r="A42" s="2299"/>
      <c r="B42" s="2300"/>
      <c r="C42" s="2300"/>
      <c r="D42" s="2300"/>
      <c r="E42" s="2300"/>
      <c r="F42" s="2301"/>
      <c r="H42" s="1878"/>
      <c r="I42" s="1878"/>
      <c r="J42" s="1878"/>
      <c r="K42" s="1878"/>
    </row>
    <row r="43" spans="1:11" s="1869" customFormat="1" ht="15" x14ac:dyDescent="0.25">
      <c r="A43" s="2288"/>
      <c r="B43" s="2289"/>
      <c r="C43" s="2289"/>
      <c r="D43" s="2289"/>
      <c r="E43" s="2289"/>
      <c r="F43" s="2290"/>
      <c r="H43" s="1878"/>
      <c r="I43" s="1878"/>
      <c r="J43" s="1878"/>
      <c r="K43" s="1878"/>
    </row>
    <row r="44" spans="1:11" s="1869" customFormat="1" ht="12" hidden="1" customHeight="1" x14ac:dyDescent="0.25">
      <c r="A44" s="2288"/>
      <c r="B44" s="2289"/>
      <c r="C44" s="2289"/>
      <c r="D44" s="2289"/>
      <c r="E44" s="2289"/>
      <c r="F44" s="2290"/>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56000000000000005" header="0.43" footer="0.28999999999999998"/>
  <pageSetup scale="82" firstPageNumber="33" orientation="landscape" useFirstPageNumber="1" r:id="rId1"/>
  <headerFooter>
    <oddHeader>&amp;CKaskaskia Special Education District #801</oddHeader>
    <oddFooter>&amp;L&amp;9See accompanying notes to the financial statements.
&amp;C-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Layout" topLeftCell="A16" colorId="8" zoomScaleNormal="110" workbookViewId="0">
      <selection activeCell="C36" sqref="C36:I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2"/>
      <c r="C6" s="1642"/>
      <c r="D6" s="1642"/>
      <c r="E6" s="1643"/>
      <c r="F6" s="1015"/>
      <c r="G6" s="1009"/>
      <c r="H6" s="1016" t="s">
        <v>1028</v>
      </c>
      <c r="I6" s="2315" t="str">
        <f>COVER!A17</f>
        <v>Kaskaskia Spec Educ District</v>
      </c>
      <c r="J6" s="2316"/>
      <c r="Q6" s="1663"/>
    </row>
    <row r="7" spans="1:17" x14ac:dyDescent="0.2">
      <c r="A7" s="2317" t="s">
        <v>869</v>
      </c>
      <c r="B7" s="2318"/>
      <c r="C7" s="2318"/>
      <c r="D7" s="2318"/>
      <c r="E7" s="2319"/>
      <c r="F7" s="1017"/>
      <c r="G7" s="1009"/>
      <c r="H7" s="1016" t="s">
        <v>372</v>
      </c>
      <c r="I7" s="2320">
        <f>COVER!A13</f>
        <v>13058801060</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0</v>
      </c>
      <c r="F12" s="1039"/>
      <c r="G12" s="1810">
        <f t="shared" ref="G12:G18" si="0">SUM(E12:F12)</f>
        <v>0</v>
      </c>
      <c r="H12" s="1040"/>
      <c r="I12" s="1039"/>
      <c r="J12" s="1810">
        <f t="shared" ref="J12:J18" si="1">SUM(H12:I12)</f>
        <v>0</v>
      </c>
    </row>
    <row r="13" spans="1:17" ht="15" customHeight="1" x14ac:dyDescent="0.2">
      <c r="A13" s="1035">
        <v>2</v>
      </c>
      <c r="B13" s="1036" t="s">
        <v>42</v>
      </c>
      <c r="C13" s="1037"/>
      <c r="D13" s="1038">
        <v>2330</v>
      </c>
      <c r="E13" s="1810">
        <f>'Expenditures 15-22'!K51</f>
        <v>458942</v>
      </c>
      <c r="F13" s="1039"/>
      <c r="G13" s="1810">
        <f t="shared" si="0"/>
        <v>458942</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15387</v>
      </c>
      <c r="F16" s="1039"/>
      <c r="G16" s="1810">
        <f t="shared" si="0"/>
        <v>15387</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4" t="s">
        <v>7</v>
      </c>
      <c r="C18" s="2325"/>
      <c r="D18" s="2326"/>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474329</v>
      </c>
      <c r="F19" s="1812">
        <f t="shared" si="2"/>
        <v>0</v>
      </c>
      <c r="G19" s="1812">
        <f t="shared" si="2"/>
        <v>474329</v>
      </c>
      <c r="H19" s="1812">
        <f t="shared" si="2"/>
        <v>0</v>
      </c>
      <c r="I19" s="1812">
        <f t="shared" si="2"/>
        <v>0</v>
      </c>
      <c r="J19" s="1812">
        <f t="shared" si="2"/>
        <v>0</v>
      </c>
    </row>
    <row r="20" spans="1:10" ht="13.5" thickTop="1" x14ac:dyDescent="0.2">
      <c r="A20" s="1035">
        <v>9</v>
      </c>
      <c r="B20" s="2327" t="s">
        <v>1977</v>
      </c>
      <c r="C20" s="2327"/>
      <c r="D20" s="2328"/>
      <c r="E20" s="1046"/>
      <c r="F20" s="1046"/>
      <c r="G20" s="1046"/>
      <c r="H20" s="1046"/>
      <c r="I20" s="1046"/>
      <c r="J20" s="1813" t="str">
        <f>IF(AND(G19&gt;0,J19&gt;0),(((J19-G19)/G19)),"Enter Budget Data")</f>
        <v>Enter Budget Data</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1979</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67" header="0.44" footer="0.33"/>
  <pageSetup scale="90" firstPageNumber="31" orientation="landscape" useFirstPageNumber="1" r:id="rId1"/>
  <headerFooter alignWithMargins="0">
    <oddHeader>&amp;CKaskaskia Special Education District #801</oddHeader>
    <oddFooter>&amp;LSee accompanying notes to the financial statements.
&amp;C- 44 -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Layout" topLeftCell="A40" zoomScaleNormal="110" workbookViewId="0">
      <selection activeCell="A9" sqref="A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2076</v>
      </c>
    </row>
    <row r="6" spans="1:2" x14ac:dyDescent="0.2">
      <c r="A6" s="1068">
        <v>2</v>
      </c>
      <c r="B6" s="329" t="s">
        <v>2077</v>
      </c>
    </row>
    <row r="7" spans="1:2" x14ac:dyDescent="0.2">
      <c r="A7" s="1068">
        <v>3</v>
      </c>
      <c r="B7" s="329" t="s">
        <v>2080</v>
      </c>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row>
    <row r="65" spans="2:2" x14ac:dyDescent="0.2">
      <c r="B65" s="1070"/>
    </row>
  </sheetData>
  <phoneticPr fontId="14" type="noConversion"/>
  <pageMargins left="0.83" right="0.2" top="1.17" bottom="0.75" header="0.61" footer="0.44"/>
  <pageSetup scale="80" firstPageNumber="34" orientation="portrait" useFirstPageNumber="1" r:id="rId1"/>
  <headerFooter alignWithMargins="0">
    <oddHeader>&amp;CKaskaskia Special Education District #801</oddHeader>
    <oddFooter>&amp;L&amp;9See accompanying notes to the financial statements.
&amp;C- 34 -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topLeftCell="A16" colorId="8"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&amp;CKaskaskia Special Education District #801</oddHeader>
    <oddFooter xml:space="preserve">&amp;LSee accompanying notes to the financial statements.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8" sqref="F1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1104900</xdr:colOff>
                <xdr:row>2</xdr:row>
                <xdr:rowOff>19050</xdr:rowOff>
              </from>
              <to>
                <xdr:col>1</xdr:col>
                <xdr:colOff>2019300</xdr:colOff>
                <xdr:row>6</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2200275</xdr:colOff>
                <xdr:row>2</xdr:row>
                <xdr:rowOff>28575</xdr:rowOff>
              </from>
              <to>
                <xdr:col>1</xdr:col>
                <xdr:colOff>3114675</xdr:colOff>
                <xdr:row>6</xdr:row>
                <xdr:rowOff>66675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topLeftCell="A3" zoomScaleNormal="110" workbookViewId="0">
      <selection activeCell="B21" sqref="B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1983</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1984</v>
      </c>
      <c r="B4" s="2355"/>
      <c r="C4" s="2355"/>
      <c r="D4" s="2355"/>
      <c r="E4" s="2355"/>
      <c r="F4" s="2356"/>
      <c r="G4" s="1074"/>
      <c r="H4" s="1074"/>
    </row>
    <row r="5" spans="1:8" ht="14.25" customHeight="1" x14ac:dyDescent="0.2">
      <c r="A5" s="2357" t="s">
        <v>1980</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9278529</v>
      </c>
      <c r="C8" s="1814">
        <f>'Acct Summary 7-8'!D8</f>
        <v>0</v>
      </c>
      <c r="D8" s="1814">
        <f>'Acct Summary 7-8'!F8</f>
        <v>0</v>
      </c>
      <c r="E8" s="1814">
        <f>'Acct Summary 7-8'!I8</f>
        <v>0</v>
      </c>
      <c r="F8" s="1814">
        <f>SUM(B8:E8)</f>
        <v>9278529</v>
      </c>
    </row>
    <row r="9" spans="1:8" s="1079" customFormat="1" ht="14.25" customHeight="1" thickBot="1" x14ac:dyDescent="0.25">
      <c r="A9" s="1078" t="s">
        <v>1369</v>
      </c>
      <c r="B9" s="1815">
        <f>'Acct Summary 7-8'!C17</f>
        <v>9668747</v>
      </c>
      <c r="C9" s="1815">
        <f>'Acct Summary 7-8'!D17</f>
        <v>0</v>
      </c>
      <c r="D9" s="1815">
        <f>'Acct Summary 7-8'!F17</f>
        <v>0</v>
      </c>
      <c r="E9" s="1814"/>
      <c r="F9" s="1814">
        <f>SUM(B9:E9)</f>
        <v>9668747</v>
      </c>
    </row>
    <row r="10" spans="1:8" s="1079" customFormat="1" ht="14.25" thickTop="1" thickBot="1" x14ac:dyDescent="0.25">
      <c r="A10" s="1080" t="s">
        <v>1370</v>
      </c>
      <c r="B10" s="1816">
        <f>(B8-B9)</f>
        <v>-390218</v>
      </c>
      <c r="C10" s="1816">
        <f>(C8-C9)</f>
        <v>0</v>
      </c>
      <c r="D10" s="1816">
        <f>(D8-D9)</f>
        <v>0</v>
      </c>
      <c r="E10" s="1815">
        <f>(E8-E9)</f>
        <v>0</v>
      </c>
      <c r="F10" s="1817">
        <f>SUM(F8-F9)</f>
        <v>-390218</v>
      </c>
    </row>
    <row r="11" spans="1:8" s="1079" customFormat="1" ht="14.25" thickTop="1" thickBot="1" x14ac:dyDescent="0.25">
      <c r="A11" s="1081" t="s">
        <v>1981</v>
      </c>
      <c r="B11" s="1818">
        <f>'Acct Summary 7-8'!C81</f>
        <v>2198921</v>
      </c>
      <c r="C11" s="1818">
        <f>'Acct Summary 7-8'!D81</f>
        <v>0</v>
      </c>
      <c r="D11" s="1818">
        <f>'Acct Summary 7-8'!F81</f>
        <v>0</v>
      </c>
      <c r="E11" s="1818">
        <f>'Acct Summary 7-8'!I81</f>
        <v>0</v>
      </c>
      <c r="F11" s="1819">
        <f>SUM(B11:E11)</f>
        <v>2198921</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&amp;CKaskaskia Special Education District #801</oddHeader>
    <oddFooter>&amp;LSee accompanying notes to the financial statements.
&amp;C- 42 -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Layout" topLeftCell="A32" colorId="8" zoomScaleNormal="110" workbookViewId="0">
      <selection activeCell="C26" sqref="C2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6"/>
      <c r="B2" s="1897"/>
      <c r="C2" s="1898"/>
      <c r="D2" s="1899"/>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Header>&amp;CKaskaskia Special Education District #801</oddHeader>
    <oddFooter xml:space="preserve">&amp;L&amp;8See accompanying notes to the financial statements.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13058801060</v>
      </c>
    </row>
    <row r="3" spans="1:2" x14ac:dyDescent="0.2">
      <c r="A3" t="s">
        <v>956</v>
      </c>
      <c r="B3" s="138" t="str">
        <f>COVER!A15</f>
        <v>Clinton, Marion, &amp; Washington</v>
      </c>
    </row>
    <row r="4" spans="1:2" x14ac:dyDescent="0.2">
      <c r="A4" t="s">
        <v>1007</v>
      </c>
      <c r="B4" s="138" t="str">
        <f>COVER!A17</f>
        <v>Kaskaskia Spec Educ District</v>
      </c>
    </row>
    <row r="5" spans="1:2" x14ac:dyDescent="0.2">
      <c r="A5" t="s">
        <v>704</v>
      </c>
      <c r="B5" s="138" t="str">
        <f>COVER!A38</f>
        <v>Cassie Clark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060-001832</v>
      </c>
    </row>
    <row r="16" spans="1:2" x14ac:dyDescent="0.2">
      <c r="A16" t="s">
        <v>422</v>
      </c>
      <c r="B16" s="138" t="str">
        <f>COVER!T13</f>
        <v>Leymone Hardcastle &amp; Co., Ltd</v>
      </c>
    </row>
    <row r="17" spans="1:2" x14ac:dyDescent="0.2">
      <c r="A17" t="s">
        <v>884</v>
      </c>
      <c r="B17" s="138" t="str">
        <f>COVER!T15</f>
        <v>Sara E. Hanks, CPA</v>
      </c>
    </row>
    <row r="18" spans="1:2" x14ac:dyDescent="0.2">
      <c r="A18" t="s">
        <v>1150</v>
      </c>
      <c r="B18" s="138" t="str">
        <f>COVER!T17</f>
        <v>200 West Main Street</v>
      </c>
    </row>
    <row r="19" spans="1:2" x14ac:dyDescent="0.2">
      <c r="A19" t="s">
        <v>886</v>
      </c>
      <c r="B19" s="138">
        <f>COVER!T25</f>
        <v>0</v>
      </c>
    </row>
    <row r="20" spans="1:2" x14ac:dyDescent="0.2">
      <c r="A20" t="s">
        <v>887</v>
      </c>
      <c r="B20" s="138" t="str">
        <f>COVER!T19</f>
        <v>Salem</v>
      </c>
    </row>
    <row r="21" spans="1:2" x14ac:dyDescent="0.2">
      <c r="A21" t="s">
        <v>479</v>
      </c>
      <c r="B21" s="138" t="str">
        <f>COVER!X19</f>
        <v>IL</v>
      </c>
    </row>
    <row r="22" spans="1:2" x14ac:dyDescent="0.2">
      <c r="A22" t="s">
        <v>888</v>
      </c>
      <c r="B22" s="138">
        <f>COVER!Z19</f>
        <v>62881</v>
      </c>
    </row>
    <row r="23" spans="1:2" x14ac:dyDescent="0.2">
      <c r="A23" t="s">
        <v>1152</v>
      </c>
      <c r="B23" s="138" t="str">
        <f>COVER!T21</f>
        <v>618-548-1002</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2199127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206</v>
      </c>
      <c r="C91" s="2" t="s">
        <v>573</v>
      </c>
      <c r="D91" s="2" t="str">
        <f t="shared" si="0"/>
        <v>Error?</v>
      </c>
    </row>
    <row r="92" spans="1:4" x14ac:dyDescent="0.2">
      <c r="A92" s="5">
        <v>31</v>
      </c>
      <c r="B92" s="138">
        <f>'Assets-Liab 5-6'!C39</f>
        <v>2198921</v>
      </c>
      <c r="D92" s="2" t="str">
        <f t="shared" si="0"/>
        <v>Error?</v>
      </c>
    </row>
    <row r="93" spans="1:4" x14ac:dyDescent="0.2">
      <c r="A93" s="5">
        <v>32</v>
      </c>
      <c r="B93" s="138">
        <f>'Assets-Liab 5-6'!C41</f>
        <v>2199127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51500</v>
      </c>
      <c r="D273" s="2" t="str">
        <f t="shared" si="3"/>
        <v>Error?</v>
      </c>
    </row>
    <row r="274" spans="1:4" x14ac:dyDescent="0.2">
      <c r="A274" s="5">
        <v>213</v>
      </c>
      <c r="B274" s="138">
        <f>'Assets-Liab 5-6'!M17</f>
        <v>1323558</v>
      </c>
      <c r="D274" s="2" t="str">
        <f t="shared" si="3"/>
        <v>Error?</v>
      </c>
    </row>
    <row r="275" spans="1:4" x14ac:dyDescent="0.2">
      <c r="A275" s="5">
        <v>214</v>
      </c>
      <c r="B275" s="138">
        <f>'Assets-Liab 5-6'!M18</f>
        <v>72913</v>
      </c>
      <c r="D275" s="2" t="str">
        <f t="shared" si="3"/>
        <v>Error?</v>
      </c>
    </row>
    <row r="276" spans="1:4" x14ac:dyDescent="0.2">
      <c r="A276" s="5">
        <v>215</v>
      </c>
      <c r="B276" s="138">
        <f>'Assets-Liab 5-6'!M19</f>
        <v>393807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1841778</v>
      </c>
      <c r="C279" s="2" t="s">
        <v>573</v>
      </c>
      <c r="D279" s="2" t="str">
        <f t="shared" si="3"/>
        <v>Error?</v>
      </c>
    </row>
    <row r="280" spans="1:4" x14ac:dyDescent="0.2">
      <c r="A280" s="5">
        <v>219</v>
      </c>
      <c r="B280" s="138">
        <f>'Assets-Liab 5-6'!M40</f>
        <v>1841778</v>
      </c>
      <c r="D280" s="2" t="str">
        <f t="shared" si="3"/>
        <v>Error?</v>
      </c>
    </row>
    <row r="281" spans="1:4" x14ac:dyDescent="0.2">
      <c r="A281" s="5">
        <v>220</v>
      </c>
      <c r="B281" s="138">
        <f>'Assets-Liab 5-6'!M41</f>
        <v>1841778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1817309</v>
      </c>
      <c r="C720" s="2" t="s">
        <v>573</v>
      </c>
      <c r="D720" s="2" t="str">
        <f t="shared" si="10"/>
        <v>Error?</v>
      </c>
    </row>
    <row r="721" spans="1:4" x14ac:dyDescent="0.2">
      <c r="A721" s="5">
        <v>660</v>
      </c>
      <c r="B721" s="138">
        <f>'Expenditures 15-22'!C36</f>
        <v>267965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475847</v>
      </c>
      <c r="D723" s="2" t="str">
        <f t="shared" si="10"/>
        <v>Error?</v>
      </c>
    </row>
    <row r="724" spans="1:4" x14ac:dyDescent="0.2">
      <c r="A724" s="5">
        <v>663</v>
      </c>
      <c r="B724" s="138">
        <f>'Expenditures 15-22'!C39</f>
        <v>765376</v>
      </c>
      <c r="D724" s="2" t="str">
        <f t="shared" si="10"/>
        <v>Error?</v>
      </c>
    </row>
    <row r="725" spans="1:4" x14ac:dyDescent="0.2">
      <c r="A725" s="5">
        <v>664</v>
      </c>
      <c r="B725" s="138">
        <f>'Expenditures 15-22'!C40</f>
        <v>727633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2236821</v>
      </c>
      <c r="C727" s="2" t="s">
        <v>573</v>
      </c>
      <c r="D727" s="2" t="str">
        <f t="shared" si="10"/>
        <v>Error?</v>
      </c>
    </row>
    <row r="728" spans="1:4" x14ac:dyDescent="0.2">
      <c r="A728" s="5">
        <v>667</v>
      </c>
      <c r="B728" s="138">
        <f>'Expenditures 15-22'!C44</f>
        <v>41279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23276</v>
      </c>
      <c r="D730" s="2" t="str">
        <f t="shared" si="10"/>
        <v>Error?</v>
      </c>
    </row>
    <row r="731" spans="1:4" x14ac:dyDescent="0.2">
      <c r="A731" s="5">
        <v>670</v>
      </c>
      <c r="B731" s="138">
        <f>'Expenditures 15-22'!C47</f>
        <v>64555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264039</v>
      </c>
      <c r="C734" s="2" t="s">
        <v>573</v>
      </c>
      <c r="D734" s="2" t="str">
        <f t="shared" si="10"/>
        <v>Error?</v>
      </c>
    </row>
    <row r="735" spans="1:4" x14ac:dyDescent="0.2">
      <c r="A735" s="5">
        <v>674</v>
      </c>
      <c r="B735" s="138">
        <f>'Expenditures 15-22'!C55</f>
        <v>431943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431943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150880</v>
      </c>
      <c r="D739" s="2" t="str">
        <f t="shared" si="10"/>
        <v>Error?</v>
      </c>
    </row>
    <row r="740" spans="1:4" x14ac:dyDescent="0.2">
      <c r="A740" s="5">
        <v>679</v>
      </c>
      <c r="B740" s="138">
        <f>'Expenditures 15-22'!C61</f>
        <v>258663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17833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427376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3424734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5242043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657634</v>
      </c>
      <c r="C778" s="2" t="s">
        <v>573</v>
      </c>
      <c r="D778" s="2" t="str">
        <f t="shared" si="11"/>
        <v>Error?</v>
      </c>
    </row>
    <row r="779" spans="1:4" x14ac:dyDescent="0.2">
      <c r="A779" s="5">
        <v>718</v>
      </c>
      <c r="B779" s="138">
        <f>'Expenditures 15-22'!D36</f>
        <v>82737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174783</v>
      </c>
      <c r="D781" s="2" t="str">
        <f t="shared" si="11"/>
        <v>Error?</v>
      </c>
    </row>
    <row r="782" spans="1:4" x14ac:dyDescent="0.2">
      <c r="A782" s="5">
        <v>721</v>
      </c>
      <c r="B782" s="138">
        <f>'Expenditures 15-22'!D39</f>
        <v>259366</v>
      </c>
      <c r="D782" s="2" t="str">
        <f t="shared" si="11"/>
        <v>Error?</v>
      </c>
    </row>
    <row r="783" spans="1:4" x14ac:dyDescent="0.2">
      <c r="A783" s="5">
        <v>722</v>
      </c>
      <c r="B783" s="138">
        <f>'Expenditures 15-22'!D40</f>
        <v>137411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654297</v>
      </c>
      <c r="C785" s="2" t="s">
        <v>573</v>
      </c>
      <c r="D785" s="2" t="str">
        <f t="shared" si="11"/>
        <v>Error?</v>
      </c>
    </row>
    <row r="786" spans="1:4" x14ac:dyDescent="0.2">
      <c r="A786" s="5">
        <v>725</v>
      </c>
      <c r="B786" s="138">
        <f>'Expenditures 15-22'!D44</f>
        <v>11460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5649</v>
      </c>
      <c r="D788" s="2" t="str">
        <f t="shared" si="11"/>
        <v>Error?</v>
      </c>
    </row>
    <row r="789" spans="1:4" x14ac:dyDescent="0.2">
      <c r="A789" s="5">
        <v>728</v>
      </c>
      <c r="B789" s="138">
        <f>'Expenditures 15-22'!D47</f>
        <v>17109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116425</v>
      </c>
      <c r="C792" s="2" t="s">
        <v>573</v>
      </c>
      <c r="D792" s="2" t="str">
        <f t="shared" si="11"/>
        <v>Error?</v>
      </c>
    </row>
    <row r="793" spans="1:4" x14ac:dyDescent="0.2">
      <c r="A793" s="5">
        <v>732</v>
      </c>
      <c r="B793" s="138">
        <f>'Expenditures 15-22'!D55</f>
        <v>100066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100066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31044</v>
      </c>
      <c r="D797" s="2" t="str">
        <f t="shared" si="11"/>
        <v>Error?</v>
      </c>
    </row>
    <row r="798" spans="1:4" x14ac:dyDescent="0.2">
      <c r="A798" s="5">
        <v>737</v>
      </c>
      <c r="B798" s="138">
        <f>'Expenditures 15-22'!D61</f>
        <v>86425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14085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131554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1019451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1677085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96900</v>
      </c>
      <c r="C836" s="2" t="s">
        <v>573</v>
      </c>
      <c r="D836" s="2" t="str">
        <f t="shared" si="12"/>
        <v>Error?</v>
      </c>
    </row>
    <row r="837" spans="1:4" x14ac:dyDescent="0.2">
      <c r="A837" s="5">
        <v>776</v>
      </c>
      <c r="B837" s="138">
        <f>'Expenditures 15-22'!E36</f>
        <v>11548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51405</v>
      </c>
      <c r="D839" s="2" t="str">
        <f t="shared" si="12"/>
        <v>Error?</v>
      </c>
    </row>
    <row r="840" spans="1:4" x14ac:dyDescent="0.2">
      <c r="A840" s="5">
        <v>779</v>
      </c>
      <c r="B840" s="138">
        <f>'Expenditures 15-22'!E39</f>
        <v>36898</v>
      </c>
      <c r="D840" s="2" t="str">
        <f t="shared" si="12"/>
        <v>Error?</v>
      </c>
    </row>
    <row r="841" spans="1:4" x14ac:dyDescent="0.2">
      <c r="A841" s="5">
        <v>780</v>
      </c>
      <c r="B841" s="138">
        <f>'Expenditures 15-22'!E40</f>
        <v>76764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176615</v>
      </c>
      <c r="C843" s="2" t="s">
        <v>573</v>
      </c>
      <c r="D843" s="2" t="str">
        <f t="shared" si="12"/>
        <v>Error?</v>
      </c>
    </row>
    <row r="844" spans="1:4" x14ac:dyDescent="0.2">
      <c r="A844" s="5">
        <v>783</v>
      </c>
      <c r="B844" s="138">
        <f>'Expenditures 15-22'!E44</f>
        <v>178346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482</v>
      </c>
      <c r="D846" s="2" t="str">
        <f t="shared" si="12"/>
        <v>Error?</v>
      </c>
    </row>
    <row r="847" spans="1:4" x14ac:dyDescent="0.2">
      <c r="A847" s="5">
        <v>786</v>
      </c>
      <c r="B847" s="138">
        <f>'Expenditures 15-22'!E47</f>
        <v>178828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40181</v>
      </c>
      <c r="C850" s="2" t="s">
        <v>573</v>
      </c>
      <c r="D850" s="2" t="str">
        <f t="shared" si="12"/>
        <v>Error?</v>
      </c>
    </row>
    <row r="851" spans="1:4" x14ac:dyDescent="0.2">
      <c r="A851" s="5">
        <v>790</v>
      </c>
      <c r="B851" s="138">
        <f>'Expenditures 15-22'!E55</f>
        <v>37275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37275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12164</v>
      </c>
      <c r="D855" s="2" t="str">
        <f t="shared" si="12"/>
        <v>Error?</v>
      </c>
    </row>
    <row r="856" spans="1:4" x14ac:dyDescent="0.2">
      <c r="A856" s="5">
        <v>795</v>
      </c>
      <c r="B856" s="138">
        <f>'Expenditures 15-22'!E61</f>
        <v>201799</v>
      </c>
      <c r="D856" s="2" t="str">
        <f t="shared" si="12"/>
        <v>Error?</v>
      </c>
    </row>
    <row r="857" spans="1:4" x14ac:dyDescent="0.2">
      <c r="A857" s="5">
        <v>796</v>
      </c>
      <c r="B857" s="138">
        <f>'Expenditures 15-22'!E62</f>
        <v>63708</v>
      </c>
      <c r="D857" s="2" t="str">
        <f t="shared" si="12"/>
        <v>Error?</v>
      </c>
    </row>
    <row r="858" spans="1:4" x14ac:dyDescent="0.2">
      <c r="A858" s="5">
        <v>797</v>
      </c>
      <c r="B858" s="138">
        <f>'Expenditures 15-22'!E63</f>
        <v>3181</v>
      </c>
      <c r="D858" s="2" t="str">
        <f t="shared" si="12"/>
        <v>Error?</v>
      </c>
    </row>
    <row r="859" spans="1:4" x14ac:dyDescent="0.2">
      <c r="A859" s="5">
        <v>798</v>
      </c>
      <c r="B859" s="138">
        <f>'Expenditures 15-22'!E64</f>
        <v>15387</v>
      </c>
      <c r="D859" s="2" t="str">
        <f t="shared" si="12"/>
        <v>Error?</v>
      </c>
    </row>
    <row r="860" spans="1:4" x14ac:dyDescent="0.2">
      <c r="A860" s="10">
        <v>799</v>
      </c>
      <c r="D860" s="2" t="str">
        <f t="shared" si="12"/>
        <v>OK</v>
      </c>
    </row>
    <row r="861" spans="1:4" x14ac:dyDescent="0.2">
      <c r="A861" s="5">
        <v>800</v>
      </c>
      <c r="B861" s="138">
        <f>'Expenditures 15-22'!E65</f>
        <v>296239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729138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826038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104954</v>
      </c>
      <c r="C894" s="2" t="s">
        <v>573</v>
      </c>
      <c r="D894" s="2" t="str">
        <f t="shared" si="12"/>
        <v>Error?</v>
      </c>
    </row>
    <row r="895" spans="1:4" x14ac:dyDescent="0.2">
      <c r="A895" s="5">
        <v>834</v>
      </c>
      <c r="B895" s="138">
        <f>'Expenditures 15-22'!F36</f>
        <v>1648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8502</v>
      </c>
      <c r="D897" s="2" t="str">
        <f t="shared" si="13"/>
        <v>Error?</v>
      </c>
    </row>
    <row r="898" spans="1:4" x14ac:dyDescent="0.2">
      <c r="A898" s="5">
        <v>837</v>
      </c>
      <c r="B898" s="138">
        <f>'Expenditures 15-22'!F39</f>
        <v>21252</v>
      </c>
      <c r="D898" s="2" t="str">
        <f t="shared" si="13"/>
        <v>Error?</v>
      </c>
    </row>
    <row r="899" spans="1:4" x14ac:dyDescent="0.2">
      <c r="A899" s="5">
        <v>838</v>
      </c>
      <c r="B899" s="138">
        <f>'Expenditures 15-22'!F40</f>
        <v>20426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51828</v>
      </c>
      <c r="C901" s="2" t="s">
        <v>573</v>
      </c>
      <c r="D901" s="2" t="str">
        <f t="shared" si="13"/>
        <v>Error?</v>
      </c>
    </row>
    <row r="902" spans="1:4" x14ac:dyDescent="0.2">
      <c r="A902" s="5">
        <v>841</v>
      </c>
      <c r="B902" s="138">
        <f>'Expenditures 15-22'!F44</f>
        <v>35183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5868</v>
      </c>
      <c r="D904" s="2" t="str">
        <f t="shared" si="13"/>
        <v>Error?</v>
      </c>
    </row>
    <row r="905" spans="1:4" x14ac:dyDescent="0.2">
      <c r="A905" s="5">
        <v>844</v>
      </c>
      <c r="B905" s="138">
        <f>'Expenditures 15-22'!F47</f>
        <v>41051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32715</v>
      </c>
      <c r="C908" s="2" t="s">
        <v>573</v>
      </c>
      <c r="D908" s="2" t="str">
        <f t="shared" si="13"/>
        <v>Error?</v>
      </c>
    </row>
    <row r="909" spans="1:4" x14ac:dyDescent="0.2">
      <c r="A909" s="5">
        <v>848</v>
      </c>
      <c r="B909" s="138">
        <f>'Expenditures 15-22'!F55</f>
        <v>2548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2548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299</v>
      </c>
      <c r="D913" s="2" t="str">
        <f t="shared" si="13"/>
        <v>Error?</v>
      </c>
    </row>
    <row r="914" spans="1:4" x14ac:dyDescent="0.2">
      <c r="A914" s="5">
        <v>853</v>
      </c>
      <c r="B914" s="138">
        <f>'Expenditures 15-22'!F61</f>
        <v>119516</v>
      </c>
      <c r="D914" s="2" t="str">
        <f t="shared" si="13"/>
        <v>Error?</v>
      </c>
    </row>
    <row r="915" spans="1:4" x14ac:dyDescent="0.2">
      <c r="A915" s="5">
        <v>854</v>
      </c>
      <c r="B915" s="138">
        <f>'Expenditures 15-22'!F62</f>
        <v>897</v>
      </c>
      <c r="D915" s="2" t="str">
        <f t="shared" si="13"/>
        <v>Error?</v>
      </c>
    </row>
    <row r="916" spans="1:4" x14ac:dyDescent="0.2">
      <c r="A916" s="5">
        <v>855</v>
      </c>
      <c r="B916" s="138">
        <f>'Expenditures 15-22'!F63</f>
        <v>50198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170910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40</v>
      </c>
      <c r="D928" s="2" t="str">
        <f t="shared" si="13"/>
        <v>Error?</v>
      </c>
    </row>
    <row r="929" spans="1:4" x14ac:dyDescent="0.2">
      <c r="A929" s="5">
        <v>868</v>
      </c>
      <c r="B929" s="138">
        <f>'Expenditures 15-22'!F74</f>
        <v>299092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404046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28082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12136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7217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19353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19353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47435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135497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33446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1650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35096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5582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40678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1295925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1472100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2840376</v>
      </c>
      <c r="C1108" s="2" t="s">
        <v>573</v>
      </c>
      <c r="D1108" s="2" t="str">
        <f t="shared" si="16"/>
        <v>Error?</v>
      </c>
    </row>
    <row r="1109" spans="1:4" x14ac:dyDescent="0.2">
      <c r="A1109" s="5">
        <v>1048</v>
      </c>
      <c r="B1109" s="138">
        <f>'Expenditures 15-22'!K36</f>
        <v>363898</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743983</v>
      </c>
      <c r="C1111" s="2" t="s">
        <v>573</v>
      </c>
      <c r="D1111" s="2" t="str">
        <f t="shared" si="16"/>
        <v>Error?</v>
      </c>
    </row>
    <row r="1112" spans="1:4" x14ac:dyDescent="0.2">
      <c r="A1112" s="5">
        <v>1051</v>
      </c>
      <c r="B1112" s="138">
        <f>'Expenditures 15-22'!K39</f>
        <v>1082892</v>
      </c>
      <c r="C1112" s="2" t="s">
        <v>573</v>
      </c>
      <c r="D1112" s="2" t="str">
        <f t="shared" si="16"/>
        <v>Error?</v>
      </c>
    </row>
    <row r="1113" spans="1:4" x14ac:dyDescent="0.2">
      <c r="A1113" s="5">
        <v>1052</v>
      </c>
      <c r="B1113" s="138">
        <f>'Expenditures 15-22'!K40</f>
        <v>963884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3154657</v>
      </c>
      <c r="C1115" s="2" t="s">
        <v>573</v>
      </c>
      <c r="D1115" s="2" t="str">
        <f t="shared" si="16"/>
        <v>Error?</v>
      </c>
    </row>
    <row r="1116" spans="1:4" x14ac:dyDescent="0.2">
      <c r="A1116" s="5">
        <v>1055</v>
      </c>
      <c r="B1116" s="138">
        <f>'Expenditures 15-22'!K44</f>
        <v>266268</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35275</v>
      </c>
      <c r="C1118" s="2" t="s">
        <v>573</v>
      </c>
      <c r="D1118" s="2" t="str">
        <f t="shared" si="16"/>
        <v>Error?</v>
      </c>
    </row>
    <row r="1119" spans="1:4" x14ac:dyDescent="0.2">
      <c r="A1119" s="5">
        <v>1058</v>
      </c>
      <c r="B1119" s="138">
        <f>'Expenditures 15-22'!K47</f>
        <v>301543</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458942</v>
      </c>
      <c r="C1122" s="2" t="s">
        <v>573</v>
      </c>
      <c r="D1122" s="2" t="str">
        <f t="shared" si="16"/>
        <v>Error?</v>
      </c>
    </row>
    <row r="1123" spans="1:4" x14ac:dyDescent="0.2">
      <c r="A1123" s="5">
        <v>1062</v>
      </c>
      <c r="B1123" s="138">
        <f>'Expenditures 15-22'!K55</f>
        <v>571832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571832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194387</v>
      </c>
      <c r="C1127" s="2" t="s">
        <v>573</v>
      </c>
      <c r="D1127" s="2" t="str">
        <f t="shared" si="16"/>
        <v>Error?</v>
      </c>
    </row>
    <row r="1128" spans="1:4" x14ac:dyDescent="0.2">
      <c r="A1128" s="5">
        <v>1067</v>
      </c>
      <c r="B1128" s="138">
        <f>'Expenditures 15-22'!K61</f>
        <v>678539</v>
      </c>
      <c r="C1128" s="2" t="s">
        <v>573</v>
      </c>
      <c r="D1128" s="2" t="str">
        <f t="shared" si="16"/>
        <v>Error?</v>
      </c>
    </row>
    <row r="1129" spans="1:4" x14ac:dyDescent="0.2">
      <c r="A1129" s="5">
        <v>1068</v>
      </c>
      <c r="B1129" s="138">
        <f>'Expenditures 15-22'!K62</f>
        <v>64605</v>
      </c>
      <c r="C1129" s="2" t="s">
        <v>573</v>
      </c>
      <c r="D1129" s="2" t="str">
        <f t="shared" si="16"/>
        <v>Error?</v>
      </c>
    </row>
    <row r="1130" spans="1:4" x14ac:dyDescent="0.2">
      <c r="A1130" s="5">
        <v>1069</v>
      </c>
      <c r="B1130" s="138">
        <f>'Expenditures 15-22'!K63</f>
        <v>92514</v>
      </c>
      <c r="C1130" s="2" t="s">
        <v>573</v>
      </c>
      <c r="D1130" s="2" t="str">
        <f t="shared" si="16"/>
        <v>Error?</v>
      </c>
    </row>
    <row r="1131" spans="1:4" x14ac:dyDescent="0.2">
      <c r="A1131" s="5">
        <v>1070</v>
      </c>
      <c r="B1131" s="138">
        <f>'Expenditures 15-22'!K64</f>
        <v>15387</v>
      </c>
      <c r="C1131" s="2" t="s">
        <v>573</v>
      </c>
      <c r="D1131" s="2" t="str">
        <f t="shared" si="16"/>
        <v>Error?</v>
      </c>
    </row>
    <row r="1132" spans="1:4" x14ac:dyDescent="0.2">
      <c r="A1132" s="10">
        <v>1071</v>
      </c>
      <c r="D1132" s="2" t="str">
        <f t="shared" si="16"/>
        <v>OK</v>
      </c>
    </row>
    <row r="1133" spans="1:4" x14ac:dyDescent="0.2">
      <c r="A1133" s="5">
        <v>1072</v>
      </c>
      <c r="B1133" s="138">
        <f>'Expenditures 15-22'!K65</f>
        <v>1045432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40</v>
      </c>
      <c r="C1142" s="2" t="s">
        <v>573</v>
      </c>
      <c r="D1142" s="2" t="str">
        <f t="shared" si="16"/>
        <v>Error?</v>
      </c>
    </row>
    <row r="1143" spans="1:4" x14ac:dyDescent="0.2">
      <c r="A1143" s="5">
        <v>1082</v>
      </c>
      <c r="B1143" s="138">
        <f>'Expenditures 15-22'!K74</f>
        <v>5532446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1295925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9668747</v>
      </c>
      <c r="C1152" s="2" t="s">
        <v>573</v>
      </c>
      <c r="D1152" s="2" t="str">
        <f t="shared" si="17"/>
        <v>Error?</v>
      </c>
    </row>
    <row r="1153" spans="1:4" x14ac:dyDescent="0.2">
      <c r="A1153" s="5">
        <v>1092</v>
      </c>
      <c r="B1153" s="138">
        <f>'Expenditures 15-22'!K115</f>
        <v>-390218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2589139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2198921</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52944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51500</v>
      </c>
      <c r="D2008" s="2" t="str">
        <f t="shared" si="30"/>
        <v>Error?</v>
      </c>
    </row>
    <row r="2009" spans="1:4" x14ac:dyDescent="0.2">
      <c r="A2009" s="5">
        <v>1948</v>
      </c>
      <c r="B2009" s="138">
        <f>'Cap Outlay Deprec 26'!C8</f>
        <v>1323558</v>
      </c>
      <c r="D2009" s="2" t="str">
        <f t="shared" si="30"/>
        <v>Error?</v>
      </c>
    </row>
    <row r="2010" spans="1:4" x14ac:dyDescent="0.2">
      <c r="A2010" s="5">
        <v>1949</v>
      </c>
      <c r="B2010" s="138">
        <f>'Cap Outlay Deprec 26'!C10</f>
        <v>63651</v>
      </c>
      <c r="D2010" s="2" t="str">
        <f t="shared" si="30"/>
        <v>Error?</v>
      </c>
    </row>
    <row r="2011" spans="1:4" x14ac:dyDescent="0.2">
      <c r="A2011" s="5">
        <v>1950</v>
      </c>
      <c r="B2011" s="138">
        <f>'Cap Outlay Deprec 26'!C12</f>
        <v>365022</v>
      </c>
      <c r="D2011" s="2" t="str">
        <f t="shared" si="30"/>
        <v>Error?</v>
      </c>
    </row>
    <row r="2012" spans="1:4" x14ac:dyDescent="0.2">
      <c r="A2012" s="5">
        <v>1951</v>
      </c>
      <c r="B2012" s="138">
        <f>'Cap Outlay Deprec 26'!C13</f>
        <v>17992</v>
      </c>
      <c r="D2012" s="2" t="str">
        <f t="shared" si="30"/>
        <v>Error?</v>
      </c>
    </row>
    <row r="2013" spans="1:4" x14ac:dyDescent="0.2">
      <c r="A2013" s="5">
        <v>1952</v>
      </c>
      <c r="B2013" s="138">
        <f>'Cap Outlay Deprec 26'!C16</f>
        <v>1821723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9262</v>
      </c>
      <c r="D2016" s="2" t="str">
        <f t="shared" si="30"/>
        <v>Error?</v>
      </c>
    </row>
    <row r="2017" spans="1:4" x14ac:dyDescent="0.2">
      <c r="A2017" s="5">
        <v>1956</v>
      </c>
      <c r="B2017" s="138">
        <f>'Cap Outlay Deprec 26'!D12</f>
        <v>38173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47435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27380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27380</v>
      </c>
      <c r="C2025" s="2" t="s">
        <v>573</v>
      </c>
      <c r="D2025" s="2" t="str">
        <f t="shared" si="30"/>
        <v>Error?</v>
      </c>
    </row>
    <row r="2026" spans="1:4" x14ac:dyDescent="0.2">
      <c r="A2026" s="5">
        <v>1965</v>
      </c>
      <c r="B2026" s="138">
        <f>'Cap Outlay Deprec 26'!F5</f>
        <v>51500</v>
      </c>
      <c r="C2026" s="2" t="s">
        <v>573</v>
      </c>
      <c r="D2026" s="2" t="str">
        <f t="shared" si="30"/>
        <v>Error?</v>
      </c>
    </row>
    <row r="2027" spans="1:4" x14ac:dyDescent="0.2">
      <c r="A2027" s="5">
        <v>1966</v>
      </c>
      <c r="B2027" s="138">
        <f>'Cap Outlay Deprec 26'!F8</f>
        <v>1323558</v>
      </c>
      <c r="C2027" s="2" t="s">
        <v>573</v>
      </c>
      <c r="D2027" s="2" t="str">
        <f t="shared" si="30"/>
        <v>Error?</v>
      </c>
    </row>
    <row r="2028" spans="1:4" x14ac:dyDescent="0.2">
      <c r="A2028" s="5">
        <v>1967</v>
      </c>
      <c r="B2028" s="138">
        <f>'Cap Outlay Deprec 26'!F10</f>
        <v>72913</v>
      </c>
      <c r="C2028" s="2" t="s">
        <v>573</v>
      </c>
      <c r="D2028" s="2" t="str">
        <f t="shared" si="30"/>
        <v>Error?</v>
      </c>
    </row>
    <row r="2029" spans="1:4" x14ac:dyDescent="0.2">
      <c r="A2029" s="5">
        <v>1968</v>
      </c>
      <c r="B2029" s="138">
        <f>'Cap Outlay Deprec 26'!F12</f>
        <v>375815</v>
      </c>
      <c r="C2029" s="2" t="s">
        <v>573</v>
      </c>
      <c r="D2029" s="2" t="str">
        <f t="shared" si="30"/>
        <v>Error?</v>
      </c>
    </row>
    <row r="2030" spans="1:4" x14ac:dyDescent="0.2">
      <c r="A2030" s="5">
        <v>1969</v>
      </c>
      <c r="B2030" s="138">
        <f>'Cap Outlay Deprec 26'!F13</f>
        <v>17992</v>
      </c>
      <c r="C2030" s="2" t="s">
        <v>573</v>
      </c>
      <c r="D2030" s="2" t="str">
        <f t="shared" si="30"/>
        <v>Error?</v>
      </c>
    </row>
    <row r="2031" spans="1:4" x14ac:dyDescent="0.2">
      <c r="A2031" s="5">
        <v>1970</v>
      </c>
      <c r="B2031" s="138">
        <f>'Cap Outlay Deprec 26'!F16</f>
        <v>1841778</v>
      </c>
      <c r="C2031" s="2" t="s">
        <v>573</v>
      </c>
      <c r="D2031" s="2" t="str">
        <f t="shared" si="30"/>
        <v>Error?</v>
      </c>
    </row>
    <row r="2032" spans="1:4" x14ac:dyDescent="0.2">
      <c r="A2032" s="10">
        <v>1971</v>
      </c>
      <c r="D2032" s="2" t="str">
        <f t="shared" si="30"/>
        <v>OK</v>
      </c>
    </row>
    <row r="2033" spans="1:4" x14ac:dyDescent="0.2">
      <c r="A2033" s="5">
        <v>1972</v>
      </c>
      <c r="B2033" s="138">
        <f>'Cap Outlay Deprec 26'!H8</f>
        <v>533794</v>
      </c>
      <c r="D2033" s="2" t="str">
        <f t="shared" si="30"/>
        <v>Error?</v>
      </c>
    </row>
    <row r="2034" spans="1:4" x14ac:dyDescent="0.2">
      <c r="A2034" s="5">
        <v>1973</v>
      </c>
      <c r="B2034" s="138">
        <f>'Cap Outlay Deprec 26'!H10</f>
        <v>56038</v>
      </c>
      <c r="D2034" s="2" t="str">
        <f t="shared" si="30"/>
        <v>Error?</v>
      </c>
    </row>
    <row r="2035" spans="1:4" x14ac:dyDescent="0.2">
      <c r="A2035" s="5">
        <v>1974</v>
      </c>
      <c r="B2035" s="138">
        <f>'Cap Outlay Deprec 26'!H12</f>
        <v>251185</v>
      </c>
      <c r="D2035" s="2" t="str">
        <f t="shared" si="30"/>
        <v>Error?</v>
      </c>
    </row>
    <row r="2036" spans="1:4" x14ac:dyDescent="0.2">
      <c r="A2036" s="5">
        <v>1975</v>
      </c>
      <c r="B2036" s="138">
        <f>'Cap Outlay Deprec 26'!H13</f>
        <v>17992</v>
      </c>
      <c r="D2036" s="2" t="str">
        <f t="shared" si="30"/>
        <v>Error?</v>
      </c>
    </row>
    <row r="2037" spans="1:4" x14ac:dyDescent="0.2">
      <c r="A2037" s="5">
        <v>1976</v>
      </c>
      <c r="B2037" s="138">
        <f>'Cap Outlay Deprec 26'!H16</f>
        <v>859009</v>
      </c>
      <c r="C2037" s="2" t="s">
        <v>573</v>
      </c>
      <c r="D2037" s="2" t="str">
        <f t="shared" si="30"/>
        <v>Error?</v>
      </c>
    </row>
    <row r="2038" spans="1:4" x14ac:dyDescent="0.2">
      <c r="A2038" s="10">
        <v>1977</v>
      </c>
      <c r="D2038" s="2" t="str">
        <f t="shared" si="30"/>
        <v>OK</v>
      </c>
    </row>
    <row r="2039" spans="1:4" x14ac:dyDescent="0.2">
      <c r="A2039" s="5">
        <v>1978</v>
      </c>
      <c r="B2039" s="138">
        <f>'Cap Outlay Deprec 26'!I8</f>
        <v>26471</v>
      </c>
      <c r="D2039" s="2" t="str">
        <f t="shared" si="30"/>
        <v>Error?</v>
      </c>
    </row>
    <row r="2040" spans="1:4" x14ac:dyDescent="0.2">
      <c r="A2040" s="5">
        <v>1979</v>
      </c>
      <c r="B2040" s="138">
        <f>'Cap Outlay Deprec 26'!I10</f>
        <v>3568</v>
      </c>
      <c r="D2040" s="2" t="str">
        <f t="shared" si="30"/>
        <v>Error?</v>
      </c>
    </row>
    <row r="2041" spans="1:4" x14ac:dyDescent="0.2">
      <c r="A2041" s="5">
        <v>1980</v>
      </c>
      <c r="B2041" s="138">
        <f>'Cap Outlay Deprec 26'!I12</f>
        <v>26925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56964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27380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27380</v>
      </c>
      <c r="C2049" s="2" t="s">
        <v>573</v>
      </c>
      <c r="D2049" s="2" t="str">
        <f t="shared" si="31"/>
        <v>Error?</v>
      </c>
    </row>
    <row r="2050" spans="1:4" x14ac:dyDescent="0.2">
      <c r="A2050" s="10">
        <v>1989</v>
      </c>
      <c r="D2050" s="2" t="str">
        <f t="shared" si="31"/>
        <v>OK</v>
      </c>
    </row>
    <row r="2051" spans="1:4" x14ac:dyDescent="0.2">
      <c r="A2051" s="5">
        <v>1990</v>
      </c>
      <c r="B2051" s="138">
        <f>'Cap Outlay Deprec 26'!K8</f>
        <v>560265</v>
      </c>
      <c r="C2051" s="2" t="s">
        <v>573</v>
      </c>
      <c r="D2051" s="2" t="str">
        <f t="shared" si="31"/>
        <v>Error?</v>
      </c>
    </row>
    <row r="2052" spans="1:4" x14ac:dyDescent="0.2">
      <c r="A2052" s="5">
        <v>1991</v>
      </c>
      <c r="B2052" s="138">
        <f>'Cap Outlay Deprec 26'!K10</f>
        <v>59606</v>
      </c>
      <c r="C2052" s="2" t="s">
        <v>573</v>
      </c>
      <c r="D2052" s="2" t="str">
        <f t="shared" si="31"/>
        <v>Error?</v>
      </c>
    </row>
    <row r="2053" spans="1:4" x14ac:dyDescent="0.2">
      <c r="A2053" s="5">
        <v>1992</v>
      </c>
      <c r="B2053" s="138">
        <f>'Cap Outlay Deprec 26'!K12</f>
        <v>250730</v>
      </c>
      <c r="C2053" s="2" t="s">
        <v>573</v>
      </c>
      <c r="D2053" s="2" t="str">
        <f t="shared" si="31"/>
        <v>Error?</v>
      </c>
    </row>
    <row r="2054" spans="1:4" x14ac:dyDescent="0.2">
      <c r="A2054" s="5">
        <v>1993</v>
      </c>
      <c r="B2054" s="138">
        <f>'Cap Outlay Deprec 26'!K13</f>
        <v>17992</v>
      </c>
      <c r="C2054" s="2" t="s">
        <v>573</v>
      </c>
      <c r="D2054" s="2" t="str">
        <f t="shared" si="31"/>
        <v>Error?</v>
      </c>
    </row>
    <row r="2055" spans="1:4" x14ac:dyDescent="0.2">
      <c r="A2055" s="5">
        <v>1994</v>
      </c>
      <c r="B2055" s="138">
        <f>'Cap Outlay Deprec 26'!K16</f>
        <v>888593</v>
      </c>
      <c r="C2055" s="2" t="s">
        <v>573</v>
      </c>
      <c r="D2055" s="2" t="str">
        <f t="shared" si="31"/>
        <v>Error?</v>
      </c>
    </row>
    <row r="2056" spans="1:4" x14ac:dyDescent="0.2">
      <c r="A2056" s="5">
        <v>1995</v>
      </c>
      <c r="B2056" s="138">
        <f>'Cap Outlay Deprec 26'!L5</f>
        <v>51500</v>
      </c>
      <c r="C2056" s="2" t="s">
        <v>573</v>
      </c>
      <c r="D2056" s="2" t="str">
        <f t="shared" si="31"/>
        <v>Error?</v>
      </c>
    </row>
    <row r="2057" spans="1:4" x14ac:dyDescent="0.2">
      <c r="A2057" s="5">
        <v>1996</v>
      </c>
      <c r="B2057" s="138">
        <f>'Cap Outlay Deprec 26'!L8</f>
        <v>763293</v>
      </c>
      <c r="C2057" s="2" t="s">
        <v>573</v>
      </c>
      <c r="D2057" s="2" t="str">
        <f t="shared" si="31"/>
        <v>Error?</v>
      </c>
    </row>
    <row r="2058" spans="1:4" x14ac:dyDescent="0.2">
      <c r="A2058" s="5">
        <v>1997</v>
      </c>
      <c r="B2058" s="138">
        <f>'Cap Outlay Deprec 26'!L10</f>
        <v>13307</v>
      </c>
      <c r="C2058" s="2" t="s">
        <v>573</v>
      </c>
      <c r="D2058" s="2" t="str">
        <f t="shared" si="31"/>
        <v>Error?</v>
      </c>
    </row>
    <row r="2059" spans="1:4" x14ac:dyDescent="0.2">
      <c r="A2059" s="5">
        <v>1998</v>
      </c>
      <c r="B2059" s="138">
        <f>'Cap Outlay Deprec 26'!L12</f>
        <v>125085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953185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1295925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1295925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3647468</v>
      </c>
      <c r="C2551" s="2" t="s">
        <v>573</v>
      </c>
      <c r="D2551" s="2" t="str">
        <f t="shared" si="38"/>
        <v>Error?</v>
      </c>
    </row>
    <row r="2552" spans="1:4" x14ac:dyDescent="0.2">
      <c r="A2552" s="10">
        <v>2491</v>
      </c>
      <c r="D2552" s="2" t="str">
        <f t="shared" si="38"/>
        <v>OK</v>
      </c>
    </row>
    <row r="2553" spans="1:4" x14ac:dyDescent="0.2">
      <c r="A2553" s="5">
        <v>2492</v>
      </c>
      <c r="B2553" s="138">
        <f>'Acct Summary 7-8'!C6</f>
        <v>1637116</v>
      </c>
      <c r="C2553" s="2" t="s">
        <v>573</v>
      </c>
      <c r="D2553" s="2" t="str">
        <f t="shared" si="38"/>
        <v>Error?</v>
      </c>
    </row>
    <row r="2554" spans="1:4" x14ac:dyDescent="0.2">
      <c r="A2554" s="5">
        <v>2493</v>
      </c>
      <c r="B2554" s="138">
        <f>'Acct Summary 7-8'!C7</f>
        <v>3993945</v>
      </c>
      <c r="C2554" s="2" t="s">
        <v>573</v>
      </c>
      <c r="D2554" s="2" t="str">
        <f t="shared" si="38"/>
        <v>Error?</v>
      </c>
    </row>
    <row r="2555" spans="1:4" x14ac:dyDescent="0.2">
      <c r="A2555" s="5">
        <v>2494</v>
      </c>
      <c r="B2555" s="138">
        <f>'Acct Summary 7-8'!C8</f>
        <v>9278529</v>
      </c>
      <c r="C2555" s="2" t="s">
        <v>573</v>
      </c>
      <c r="D2555" s="2" t="str">
        <f t="shared" si="38"/>
        <v>Error?</v>
      </c>
    </row>
    <row r="2556" spans="1:4" x14ac:dyDescent="0.2">
      <c r="A2556" s="5">
        <v>2495</v>
      </c>
      <c r="B2556" s="138">
        <f>'Acct Summary 7-8'!C12</f>
        <v>2840376</v>
      </c>
      <c r="C2556" s="2" t="s">
        <v>573</v>
      </c>
      <c r="D2556" s="2" t="str">
        <f t="shared" si="38"/>
        <v>Error?</v>
      </c>
    </row>
    <row r="2557" spans="1:4" x14ac:dyDescent="0.2">
      <c r="A2557" s="5">
        <v>2496</v>
      </c>
      <c r="B2557" s="138">
        <f>'Acct Summary 7-8'!C13</f>
        <v>5532446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1295925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9668747</v>
      </c>
      <c r="C2561" s="2" t="s">
        <v>573</v>
      </c>
      <c r="D2561" s="2" t="str">
        <f t="shared" si="39"/>
        <v>Error?</v>
      </c>
    </row>
    <row r="2562" spans="1:4" x14ac:dyDescent="0.2">
      <c r="A2562" s="5">
        <v>2501</v>
      </c>
      <c r="B2562" s="138">
        <f>'Acct Summary 7-8'!C20</f>
        <v>-390218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264039</v>
      </c>
      <c r="D2718" s="2" t="str">
        <f t="shared" si="41"/>
        <v>Error?</v>
      </c>
    </row>
    <row r="2719" spans="1:4" x14ac:dyDescent="0.2">
      <c r="A2719" s="5">
        <v>2658</v>
      </c>
      <c r="B2719" s="138">
        <f>'Expenditures 15-22'!D51</f>
        <v>116425</v>
      </c>
      <c r="D2719" s="2" t="str">
        <f t="shared" si="41"/>
        <v>Error?</v>
      </c>
    </row>
    <row r="2720" spans="1:4" x14ac:dyDescent="0.2">
      <c r="A2720" s="5">
        <v>2659</v>
      </c>
      <c r="B2720" s="138">
        <f>'Expenditures 15-22'!E51</f>
        <v>40181</v>
      </c>
      <c r="D2720" s="2" t="str">
        <f t="shared" si="41"/>
        <v>Error?</v>
      </c>
    </row>
    <row r="2721" spans="1:4" x14ac:dyDescent="0.2">
      <c r="A2721" s="5">
        <v>2660</v>
      </c>
      <c r="B2721" s="138">
        <f>'Expenditures 15-22'!F51</f>
        <v>32715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5582</v>
      </c>
      <c r="D2723" s="2" t="str">
        <f t="shared" si="41"/>
        <v>Error?</v>
      </c>
    </row>
    <row r="2724" spans="1:4" x14ac:dyDescent="0.2">
      <c r="A2724" s="5">
        <v>2663</v>
      </c>
      <c r="B2724" s="138">
        <f>'Expenditures 15-22'!K51</f>
        <v>458942</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1295925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1295925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-390218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1817309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657634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96900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104954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28082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135497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2840376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2199127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42988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389977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9668506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389977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10058724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-52944</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2198921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87172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393170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110568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13778</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3031625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3045403</v>
      </c>
      <c r="C5087" s="2" t="s">
        <v>573</v>
      </c>
      <c r="D5087" s="2" t="str">
        <f t="shared" si="78"/>
        <v>Error?</v>
      </c>
    </row>
    <row r="5088" spans="1:4" x14ac:dyDescent="0.2">
      <c r="A5088" s="5">
        <v>5027</v>
      </c>
      <c r="B5088" s="138">
        <f>'Revenues 9-14'!C65</f>
        <v>10561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10561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737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737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389929</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90270</v>
      </c>
      <c r="D5119" s="2" t="str">
        <f t="shared" ref="D5119:D5182" si="79">IF(ISBLANK(B5119),"OK",IF(A5119-B5119=0,"OK","Error?"))</f>
        <v>Error?</v>
      </c>
    </row>
    <row r="5120" spans="1:4" x14ac:dyDescent="0.2">
      <c r="A5120" s="5">
        <v>5059</v>
      </c>
      <c r="B5120" s="138">
        <f>'Revenues 9-14'!C108</f>
        <v>590767</v>
      </c>
      <c r="C5120" s="2" t="s">
        <v>573</v>
      </c>
      <c r="D5120" s="2" t="str">
        <f t="shared" si="79"/>
        <v>Error?</v>
      </c>
    </row>
    <row r="5121" spans="1:4" x14ac:dyDescent="0.2">
      <c r="A5121" s="5">
        <v>5060</v>
      </c>
      <c r="B5121" s="138">
        <f>'Revenues 9-14'!C109</f>
        <v>3647468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542721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542721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1086984</v>
      </c>
      <c r="D5137" s="2" t="str">
        <f t="shared" si="79"/>
        <v>Error?</v>
      </c>
    </row>
    <row r="5138" spans="1:4" x14ac:dyDescent="0.2">
      <c r="A5138" s="10">
        <v>5077</v>
      </c>
      <c r="D5138" s="2" t="str">
        <f t="shared" si="79"/>
        <v>OK</v>
      </c>
    </row>
    <row r="5139" spans="1:4" x14ac:dyDescent="0.2">
      <c r="A5139" s="5">
        <v>5078</v>
      </c>
      <c r="B5139" s="138">
        <f>'Revenues 9-14'!C129</f>
        <v>6150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1093134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1261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1094395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1637116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37734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23018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60752</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190782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3262069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3452851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3993945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3993945</v>
      </c>
      <c r="C5326" s="2" t="s">
        <v>573</v>
      </c>
      <c r="D5326" s="2" t="str">
        <f t="shared" si="82"/>
        <v>Error?</v>
      </c>
    </row>
    <row r="5327" spans="1:5" x14ac:dyDescent="0.2">
      <c r="A5327" s="5">
        <v>5266</v>
      </c>
      <c r="B5327" s="138">
        <f>'Revenues 9-14'!C268</f>
        <v>9278529</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3668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-390218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-0.17745885368323827</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56964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29'!D37</f>
        <v>10700</v>
      </c>
      <c r="D7797" s="2" t="str">
        <f t="shared" si="127"/>
        <v>Error?</v>
      </c>
      <c r="E7797" s="4" t="s">
        <v>1900</v>
      </c>
    </row>
    <row r="7798" spans="1:5" x14ac:dyDescent="0.2">
      <c r="A7798">
        <v>7737</v>
      </c>
      <c r="B7798" s="138">
        <f>'Contracts Paid in CY 29'!F37</f>
        <v>10700</v>
      </c>
      <c r="D7798" s="2" t="str">
        <f t="shared" si="127"/>
        <v>Error?</v>
      </c>
      <c r="E7798" s="4" t="s">
        <v>1900</v>
      </c>
    </row>
    <row r="7799" spans="1:5" x14ac:dyDescent="0.2">
      <c r="A7799">
        <v>7738</v>
      </c>
      <c r="B7799" s="138">
        <f>'Contracts Paid in CY 29'!G37</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topLeftCell="A6" zoomScaleNormal="110" workbookViewId="0">
      <selection activeCell="H54" sqref="H5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1985</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Kaskaskia Spec Educ District</v>
      </c>
      <c r="B7" s="2383"/>
      <c r="C7" s="2383"/>
      <c r="D7" s="2420"/>
      <c r="E7" s="2421">
        <f>COVER!A13</f>
        <v>13058801060</v>
      </c>
      <c r="F7" s="2422"/>
      <c r="G7" s="2389" t="str">
        <f>COVER!T23</f>
        <v>060-001832</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Leymone Hardcastle &amp; Co., Ltd</v>
      </c>
      <c r="H9" s="2396"/>
      <c r="I9" s="2396"/>
      <c r="J9" s="2396"/>
      <c r="K9" s="2396"/>
      <c r="L9" s="2397"/>
    </row>
    <row r="10" spans="1:29" ht="13.5" customHeight="1" x14ac:dyDescent="0.2">
      <c r="A10" s="2379" t="str">
        <f>COVER!A38</f>
        <v>Cassie Clark</v>
      </c>
      <c r="B10" s="2380"/>
      <c r="C10" s="2380"/>
      <c r="D10" s="2380"/>
      <c r="E10" s="2380"/>
      <c r="F10" s="2381"/>
      <c r="G10" s="2395" t="str">
        <f>COVER!T17</f>
        <v>200 West Main Street</v>
      </c>
      <c r="H10" s="2408"/>
      <c r="I10" s="2408"/>
      <c r="J10" s="2408"/>
      <c r="K10" s="2408"/>
      <c r="L10" s="2409"/>
    </row>
    <row r="11" spans="1:29" ht="13.5" customHeight="1" x14ac:dyDescent="0.2">
      <c r="A11" s="1184" t="s">
        <v>1519</v>
      </c>
      <c r="B11" s="1185"/>
      <c r="C11" s="1186"/>
      <c r="D11" s="1191"/>
      <c r="E11" s="1186"/>
      <c r="F11" s="1190"/>
      <c r="G11" s="2395" t="str">
        <f>COVER!T19</f>
        <v>Salem</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f>COVER!T25</f>
        <v>0</v>
      </c>
      <c r="J13" s="2417"/>
      <c r="K13" s="2417"/>
      <c r="L13" s="2418"/>
    </row>
    <row r="14" spans="1:29" ht="13.5" customHeight="1" x14ac:dyDescent="0.2">
      <c r="A14" s="2395" t="str">
        <f>COVER!A19</f>
        <v>224 South Locust</v>
      </c>
      <c r="B14" s="2408"/>
      <c r="C14" s="2408"/>
      <c r="D14" s="2408"/>
      <c r="E14" s="2408"/>
      <c r="F14" s="2409"/>
      <c r="G14" s="1195" t="s">
        <v>1185</v>
      </c>
      <c r="H14" s="1193"/>
      <c r="I14" s="1193"/>
      <c r="J14" s="1193"/>
      <c r="K14" s="1193"/>
      <c r="L14" s="1194"/>
    </row>
    <row r="15" spans="1:29" ht="13.5" customHeight="1" x14ac:dyDescent="0.2">
      <c r="A15" s="2395" t="str">
        <f>COVER!A21</f>
        <v>Centralia</v>
      </c>
      <c r="B15" s="2408"/>
      <c r="C15" s="2408"/>
      <c r="D15" s="2408"/>
      <c r="E15" s="2408"/>
      <c r="F15" s="2409"/>
      <c r="G15" s="2405" t="str">
        <f>COVER!T15</f>
        <v>Sara E. Hanks, CPA</v>
      </c>
      <c r="H15" s="2406"/>
      <c r="I15" s="2406"/>
      <c r="J15" s="2406"/>
      <c r="K15" s="2406"/>
      <c r="L15" s="2407"/>
    </row>
    <row r="16" spans="1:29" ht="12.2" customHeight="1" x14ac:dyDescent="0.2">
      <c r="A16" s="2385">
        <f>COVER!A25</f>
        <v>62801</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618-548-1002</v>
      </c>
      <c r="H18" s="2383"/>
      <c r="I18" s="2383"/>
      <c r="J18" s="2383"/>
      <c r="K18" s="2382" t="str">
        <f>COVER!X21</f>
        <v>618-548-1018</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0.75" header="0.26" footer="0.39"/>
  <pageSetup firstPageNumber="35" fitToHeight="0" orientation="portrait" useFirstPageNumber="1" r:id="rId1"/>
  <headerFooter alignWithMargins="0">
    <oddFooter>&amp;L&amp;9See accompanying notes to the financial statements.
&amp;C- 35 -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Kaskaskia Spec Educ District</v>
      </c>
      <c r="B1" s="2419"/>
      <c r="C1" s="2419"/>
      <c r="D1" s="2419"/>
    </row>
    <row r="2" spans="1:11" s="1212" customFormat="1" ht="12.75" x14ac:dyDescent="0.2">
      <c r="A2" s="2424">
        <f>'Single Audit Cover'!E7</f>
        <v>13058801060</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68" bottom="0.75" header="0.26" footer="0.39"/>
  <pageSetup scale="99" firstPageNumber="45" fitToHeight="0" orientation="portrait" useFirstPageNumber="1" r:id="rId5"/>
  <headerFooter alignWithMargins="0">
    <oddFooter xml:space="preserve">&amp;LSee accompanying notes to the financial statements.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Layout" zoomScaleNormal="110" zoomScaleSheetLayoutView="100" workbookViewId="0">
      <selection activeCell="M15" sqref="M1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Kaskaskia Spec Educ District</v>
      </c>
      <c r="B1" s="2427"/>
      <c r="C1" s="2427"/>
      <c r="D1" s="2427"/>
      <c r="E1" s="2427"/>
    </row>
    <row r="2" spans="1:5" x14ac:dyDescent="0.2">
      <c r="A2" s="2428">
        <f>'Single Audit Cover'!E7</f>
        <v>13058801060</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3993945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3668</v>
      </c>
    </row>
    <row r="15" spans="1:5" x14ac:dyDescent="0.2">
      <c r="A15" s="1258"/>
      <c r="B15" s="1259"/>
      <c r="C15" s="1259"/>
    </row>
    <row r="16" spans="1:5" x14ac:dyDescent="0.2">
      <c r="A16" s="1258" t="s">
        <v>1840</v>
      </c>
      <c r="B16" s="1259"/>
      <c r="C16" s="1259"/>
    </row>
    <row r="17" spans="1:4" x14ac:dyDescent="0.2">
      <c r="A17" s="1258" t="s">
        <v>2057</v>
      </c>
      <c r="B17" s="1259" t="s">
        <v>1236</v>
      </c>
      <c r="C17" s="1259"/>
      <c r="D17" s="1261">
        <f>-SUM('Revenues 9-14'!C264:D264,'Revenues 9-14'!F264:G264)</f>
        <v>-393170</v>
      </c>
    </row>
    <row r="19" spans="1:4" ht="13.5" thickBot="1" x14ac:dyDescent="0.25">
      <c r="A19" s="1262" t="s">
        <v>1235</v>
      </c>
      <c r="D19" s="1263">
        <f>SUM(D10:D17)</f>
        <v>3604443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t="s">
        <v>2117</v>
      </c>
      <c r="B24" s="2429"/>
      <c r="D24" s="1265">
        <v>-12531</v>
      </c>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3591912</v>
      </c>
    </row>
    <row r="33" spans="1:4" x14ac:dyDescent="0.2">
      <c r="D33" s="1266"/>
    </row>
    <row r="34" spans="1:4" x14ac:dyDescent="0.2">
      <c r="A34" s="317" t="s">
        <v>1232</v>
      </c>
    </row>
    <row r="35" spans="1:4" x14ac:dyDescent="0.2">
      <c r="A35" s="317" t="s">
        <v>1231</v>
      </c>
      <c r="B35" s="1255" t="s">
        <v>1230</v>
      </c>
      <c r="D35" s="1267">
        <v>3591912</v>
      </c>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3591912</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Footer xml:space="preserve">&amp;LSee accompanying notes to the financial statements.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2" zoomScaleNormal="100" workbookViewId="0">
      <selection activeCell="I21" sqref="I2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Kaskaskia Spec Educ District</v>
      </c>
      <c r="C1" s="2431"/>
      <c r="D1" s="2431"/>
      <c r="E1" s="2431"/>
      <c r="F1" s="2431"/>
      <c r="G1" s="2431"/>
      <c r="H1" s="2431"/>
      <c r="I1" s="2431"/>
      <c r="J1" s="2431"/>
      <c r="K1" s="2431"/>
      <c r="L1" s="2431"/>
      <c r="M1" s="2431"/>
    </row>
    <row r="2" spans="2:14" ht="15" x14ac:dyDescent="0.2">
      <c r="B2" s="2432">
        <f>'Single Audit Cover'!E7</f>
        <v>13058801060</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1836</v>
      </c>
      <c r="I8" s="1316" t="s">
        <v>1262</v>
      </c>
      <c r="J8" s="1315" t="s">
        <v>1986</v>
      </c>
      <c r="K8" s="1316" t="s">
        <v>1261</v>
      </c>
      <c r="L8" s="1317" t="s">
        <v>1257</v>
      </c>
      <c r="M8" s="1318" t="s">
        <v>30</v>
      </c>
    </row>
    <row r="9" spans="2:14" ht="14.25" x14ac:dyDescent="0.2">
      <c r="B9" s="1322" t="s">
        <v>1259</v>
      </c>
      <c r="C9" s="1310" t="s">
        <v>1732</v>
      </c>
      <c r="D9" s="1311" t="s">
        <v>1733</v>
      </c>
      <c r="E9" s="1319" t="s">
        <v>1836</v>
      </c>
      <c r="F9" s="1320" t="s">
        <v>1986</v>
      </c>
      <c r="G9" s="1321" t="s">
        <v>1836</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2097</v>
      </c>
      <c r="C11" s="1335"/>
      <c r="D11" s="1336"/>
      <c r="E11" s="1337"/>
      <c r="F11" s="1337"/>
      <c r="G11" s="1337"/>
      <c r="H11" s="1337"/>
      <c r="I11" s="1337"/>
      <c r="J11" s="1337"/>
      <c r="K11" s="1337"/>
      <c r="L11" s="1337"/>
      <c r="M11" s="1337"/>
    </row>
    <row r="12" spans="2:14" ht="20.100000000000001" customHeight="1" x14ac:dyDescent="0.2">
      <c r="B12" s="1334" t="s">
        <v>2098</v>
      </c>
      <c r="C12" s="1338"/>
      <c r="D12" s="1339"/>
      <c r="E12" s="1340"/>
      <c r="F12" s="1340"/>
      <c r="G12" s="1340"/>
      <c r="H12" s="1340"/>
      <c r="I12" s="1340"/>
      <c r="J12" s="1340"/>
      <c r="K12" s="1340"/>
      <c r="L12" s="1337"/>
      <c r="M12" s="1340"/>
    </row>
    <row r="13" spans="2:14" ht="20.100000000000001" customHeight="1" x14ac:dyDescent="0.2">
      <c r="B13" s="1334" t="s">
        <v>2099</v>
      </c>
      <c r="C13" s="1338"/>
      <c r="D13" s="1339"/>
      <c r="E13" s="1340"/>
      <c r="F13" s="1340"/>
      <c r="G13" s="1340"/>
      <c r="H13" s="1340"/>
      <c r="I13" s="1340"/>
      <c r="J13" s="1340"/>
      <c r="K13" s="1340"/>
      <c r="L13" s="1337"/>
      <c r="M13" s="1340"/>
    </row>
    <row r="14" spans="2:14" ht="20.100000000000001" customHeight="1" x14ac:dyDescent="0.2">
      <c r="B14" s="1334" t="s">
        <v>2100</v>
      </c>
      <c r="C14" s="1338">
        <v>10.555</v>
      </c>
      <c r="D14" s="1339">
        <v>20184210</v>
      </c>
      <c r="E14" s="1340">
        <v>29548</v>
      </c>
      <c r="F14" s="1340">
        <v>5932</v>
      </c>
      <c r="G14" s="1340">
        <v>29548</v>
      </c>
      <c r="H14" s="1340"/>
      <c r="I14" s="1340">
        <v>5932</v>
      </c>
      <c r="J14" s="1340"/>
      <c r="K14" s="1340"/>
      <c r="L14" s="1337">
        <f t="shared" ref="L14:L19" si="0">+G14+I14+K14</f>
        <v>35480</v>
      </c>
      <c r="M14" s="1340" t="s">
        <v>2105</v>
      </c>
    </row>
    <row r="15" spans="2:14" ht="20.100000000000001" customHeight="1" x14ac:dyDescent="0.2">
      <c r="B15" s="1334" t="s">
        <v>2100</v>
      </c>
      <c r="C15" s="1338">
        <v>10.555</v>
      </c>
      <c r="D15" s="1339">
        <v>20194210</v>
      </c>
      <c r="E15" s="1340"/>
      <c r="F15" s="1340">
        <v>31802</v>
      </c>
      <c r="G15" s="1340"/>
      <c r="H15" s="1340"/>
      <c r="I15" s="1340">
        <v>31802</v>
      </c>
      <c r="J15" s="1340"/>
      <c r="K15" s="1340"/>
      <c r="L15" s="1337">
        <f t="shared" si="0"/>
        <v>31802</v>
      </c>
      <c r="M15" s="1340" t="s">
        <v>2105</v>
      </c>
    </row>
    <row r="16" spans="2:14" ht="20.100000000000001" customHeight="1" x14ac:dyDescent="0.2">
      <c r="B16" s="1334" t="s">
        <v>2101</v>
      </c>
      <c r="C16" s="1338">
        <v>10.555</v>
      </c>
      <c r="D16" s="1339"/>
      <c r="E16" s="1340">
        <v>3866</v>
      </c>
      <c r="F16" s="1340"/>
      <c r="G16" s="1340">
        <v>3866</v>
      </c>
      <c r="H16" s="1340"/>
      <c r="I16" s="1340"/>
      <c r="J16" s="1340"/>
      <c r="K16" s="1340"/>
      <c r="L16" s="1337">
        <f t="shared" si="0"/>
        <v>3866</v>
      </c>
      <c r="M16" s="1340" t="s">
        <v>2105</v>
      </c>
    </row>
    <row r="17" spans="2:14" ht="20.100000000000001" customHeight="1" x14ac:dyDescent="0.2">
      <c r="B17" s="1334" t="s">
        <v>2101</v>
      </c>
      <c r="C17" s="1338">
        <v>10.555</v>
      </c>
      <c r="D17" s="1339"/>
      <c r="E17" s="1340"/>
      <c r="F17" s="1340">
        <v>3668</v>
      </c>
      <c r="G17" s="1340"/>
      <c r="H17" s="1340"/>
      <c r="I17" s="1340">
        <v>3668</v>
      </c>
      <c r="J17" s="1340"/>
      <c r="K17" s="1340"/>
      <c r="L17" s="1337">
        <f t="shared" si="0"/>
        <v>3668</v>
      </c>
      <c r="M17" s="1340" t="s">
        <v>2105</v>
      </c>
    </row>
    <row r="18" spans="2:14" ht="20.100000000000001" customHeight="1" x14ac:dyDescent="0.2">
      <c r="B18" s="1334" t="s">
        <v>2102</v>
      </c>
      <c r="C18" s="1338">
        <v>10.553000000000001</v>
      </c>
      <c r="D18" s="1339">
        <v>20184220</v>
      </c>
      <c r="E18" s="1340">
        <v>17470</v>
      </c>
      <c r="F18" s="1340">
        <v>3685</v>
      </c>
      <c r="G18" s="1340">
        <v>17470</v>
      </c>
      <c r="H18" s="1340"/>
      <c r="I18" s="1340">
        <v>3685</v>
      </c>
      <c r="J18" s="1340"/>
      <c r="K18" s="1340"/>
      <c r="L18" s="1337">
        <f t="shared" si="0"/>
        <v>21155</v>
      </c>
      <c r="M18" s="1340" t="s">
        <v>2105</v>
      </c>
    </row>
    <row r="19" spans="2:14" ht="20.100000000000001" customHeight="1" x14ac:dyDescent="0.2">
      <c r="B19" s="1334" t="s">
        <v>2102</v>
      </c>
      <c r="C19" s="1338">
        <v>10.553000000000001</v>
      </c>
      <c r="D19" s="1339">
        <v>20194220</v>
      </c>
      <c r="E19" s="1340"/>
      <c r="F19" s="1340">
        <v>19333</v>
      </c>
      <c r="G19" s="1340"/>
      <c r="H19" s="1340"/>
      <c r="I19" s="1340">
        <v>19333</v>
      </c>
      <c r="J19" s="1340"/>
      <c r="K19" s="1340"/>
      <c r="L19" s="1337">
        <f t="shared" si="0"/>
        <v>19333</v>
      </c>
      <c r="M19" s="1340" t="s">
        <v>2105</v>
      </c>
    </row>
    <row r="20" spans="2:14" ht="20.100000000000001" customHeight="1" x14ac:dyDescent="0.2">
      <c r="B20" s="1334" t="s">
        <v>2103</v>
      </c>
      <c r="C20" s="1338"/>
      <c r="D20" s="1339"/>
      <c r="E20" s="1340"/>
      <c r="F20" s="1340">
        <v>64420</v>
      </c>
      <c r="G20" s="1340"/>
      <c r="H20" s="1340"/>
      <c r="I20" s="1340">
        <v>64420</v>
      </c>
      <c r="J20" s="1340"/>
      <c r="K20" s="1340"/>
      <c r="L20" s="1337"/>
      <c r="M20" s="1340"/>
    </row>
    <row r="21" spans="2:14" ht="20.100000000000001" customHeight="1" x14ac:dyDescent="0.2">
      <c r="B21" s="1334" t="s">
        <v>2104</v>
      </c>
      <c r="C21" s="1338"/>
      <c r="D21" s="1339"/>
      <c r="E21" s="1340"/>
      <c r="F21" s="1340">
        <v>64420</v>
      </c>
      <c r="G21" s="1340"/>
      <c r="H21" s="1340"/>
      <c r="I21" s="1340">
        <v>64420</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3" right="0" top="0.4" bottom="0.35" header="0.25" footer="0.2"/>
  <pageSetup scale="80" firstPageNumber="36" orientation="landscape" useFirstPageNumber="1" r:id="rId1"/>
  <headerFooter alignWithMargins="0">
    <oddFooter>&amp;LSee accompanying notes to the financial statements.
&amp;C-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2459-92A9-4ECD-96EF-3BC53982139F}">
  <dimension ref="B1:N152"/>
  <sheetViews>
    <sheetView showGridLines="0" view="pageLayout" topLeftCell="A20" zoomScaleNormal="100" workbookViewId="0">
      <selection activeCell="M15" sqref="M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Kaskaskia Spec Educ District</v>
      </c>
      <c r="C1" s="2431"/>
      <c r="D1" s="2431"/>
      <c r="E1" s="2431"/>
      <c r="F1" s="2431"/>
      <c r="G1" s="2431"/>
      <c r="H1" s="2431"/>
      <c r="I1" s="2431"/>
      <c r="J1" s="2431"/>
      <c r="K1" s="2431"/>
      <c r="L1" s="2431"/>
      <c r="M1" s="2431"/>
    </row>
    <row r="2" spans="2:14" ht="15" x14ac:dyDescent="0.2">
      <c r="B2" s="2432">
        <f>'Single Audit Cover'!E7</f>
        <v>13058801060</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1836</v>
      </c>
      <c r="I8" s="1316" t="s">
        <v>1262</v>
      </c>
      <c r="J8" s="1315" t="s">
        <v>1986</v>
      </c>
      <c r="K8" s="1316" t="s">
        <v>1261</v>
      </c>
      <c r="L8" s="1317" t="s">
        <v>1257</v>
      </c>
      <c r="M8" s="1318" t="s">
        <v>30</v>
      </c>
    </row>
    <row r="9" spans="2:14" ht="14.25" x14ac:dyDescent="0.2">
      <c r="B9" s="1322" t="s">
        <v>1259</v>
      </c>
      <c r="C9" s="1310" t="s">
        <v>1732</v>
      </c>
      <c r="D9" s="1311" t="s">
        <v>1733</v>
      </c>
      <c r="E9" s="1319" t="s">
        <v>1836</v>
      </c>
      <c r="F9" s="1320" t="s">
        <v>1986</v>
      </c>
      <c r="G9" s="1321" t="s">
        <v>1836</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2106</v>
      </c>
      <c r="C11" s="1335"/>
      <c r="D11" s="1336"/>
      <c r="E11" s="1337"/>
      <c r="F11" s="1337"/>
      <c r="G11" s="1337"/>
      <c r="H11" s="1337"/>
      <c r="I11" s="1337"/>
      <c r="J11" s="1337"/>
      <c r="K11" s="1337"/>
      <c r="L11" s="1337"/>
      <c r="M11" s="1337"/>
    </row>
    <row r="12" spans="2:14" ht="20.100000000000001" customHeight="1" x14ac:dyDescent="0.2">
      <c r="B12" s="1334" t="s">
        <v>2098</v>
      </c>
      <c r="C12" s="1338"/>
      <c r="D12" s="1339"/>
      <c r="E12" s="1340"/>
      <c r="F12" s="1340"/>
      <c r="G12" s="1340"/>
      <c r="H12" s="1340"/>
      <c r="I12" s="1340"/>
      <c r="J12" s="1340"/>
      <c r="K12" s="1340"/>
      <c r="L12" s="1337"/>
      <c r="M12" s="1340"/>
    </row>
    <row r="13" spans="2:14" ht="20.100000000000001" customHeight="1" x14ac:dyDescent="0.2">
      <c r="B13" s="1334" t="s">
        <v>2107</v>
      </c>
      <c r="C13" s="1338"/>
      <c r="D13" s="1339"/>
      <c r="E13" s="1340"/>
      <c r="F13" s="1340"/>
      <c r="G13" s="1340"/>
      <c r="H13" s="1340"/>
      <c r="I13" s="1340"/>
      <c r="J13" s="1340"/>
      <c r="K13" s="1340"/>
      <c r="L13" s="1337"/>
      <c r="M13" s="1340"/>
    </row>
    <row r="14" spans="2:14" ht="20.100000000000001" customHeight="1" x14ac:dyDescent="0.2">
      <c r="B14" s="1334" t="s">
        <v>2108</v>
      </c>
      <c r="C14" s="1338">
        <v>84.173000000000002</v>
      </c>
      <c r="D14" s="1339">
        <v>20184600</v>
      </c>
      <c r="E14" s="1340">
        <v>115553</v>
      </c>
      <c r="F14" s="1340">
        <v>40605</v>
      </c>
      <c r="G14" s="1340">
        <v>115902</v>
      </c>
      <c r="H14" s="1340">
        <v>92796</v>
      </c>
      <c r="I14" s="1340">
        <v>40256</v>
      </c>
      <c r="J14" s="1340">
        <v>40256</v>
      </c>
      <c r="K14" s="1340"/>
      <c r="L14" s="1337">
        <f t="shared" ref="L14:L17" si="0">+G14+I14+K14</f>
        <v>156158</v>
      </c>
      <c r="M14" s="1340">
        <v>161915</v>
      </c>
    </row>
    <row r="15" spans="2:14" ht="20.100000000000001" customHeight="1" x14ac:dyDescent="0.2">
      <c r="B15" s="1334" t="s">
        <v>2108</v>
      </c>
      <c r="C15" s="1338">
        <v>84.173000000000002</v>
      </c>
      <c r="D15" s="1339">
        <v>20194600</v>
      </c>
      <c r="E15" s="1340"/>
      <c r="F15" s="1340">
        <v>137646</v>
      </c>
      <c r="G15" s="1340"/>
      <c r="H15" s="1340"/>
      <c r="I15" s="1340">
        <v>145703</v>
      </c>
      <c r="J15" s="1340">
        <v>110008</v>
      </c>
      <c r="K15" s="1340">
        <v>39340</v>
      </c>
      <c r="L15" s="1337">
        <f t="shared" si="0"/>
        <v>185043</v>
      </c>
      <c r="M15" s="1340">
        <v>266099</v>
      </c>
    </row>
    <row r="16" spans="2:14" ht="20.100000000000001" customHeight="1" x14ac:dyDescent="0.2">
      <c r="B16" s="1334" t="s">
        <v>2109</v>
      </c>
      <c r="C16" s="1338">
        <v>84.027000000000001</v>
      </c>
      <c r="D16" s="1339">
        <v>20184620</v>
      </c>
      <c r="E16" s="1340">
        <v>2584888</v>
      </c>
      <c r="F16" s="1340">
        <v>439418</v>
      </c>
      <c r="G16" s="1340">
        <v>2584808</v>
      </c>
      <c r="H16" s="1340">
        <v>458188</v>
      </c>
      <c r="I16" s="1340">
        <v>439498</v>
      </c>
      <c r="J16" s="1340">
        <v>183510</v>
      </c>
      <c r="K16" s="1340"/>
      <c r="L16" s="1337">
        <f t="shared" si="0"/>
        <v>3024306</v>
      </c>
      <c r="M16" s="1340">
        <v>3208646</v>
      </c>
    </row>
    <row r="17" spans="2:14" ht="20.100000000000001" customHeight="1" x14ac:dyDescent="0.2">
      <c r="B17" s="1334" t="s">
        <v>2109</v>
      </c>
      <c r="C17" s="1338">
        <v>84.027000000000001</v>
      </c>
      <c r="D17" s="1339">
        <v>20194620</v>
      </c>
      <c r="E17" s="1340"/>
      <c r="F17" s="1340">
        <v>2822651</v>
      </c>
      <c r="G17" s="1340"/>
      <c r="H17" s="1340"/>
      <c r="I17" s="1340">
        <v>2862815</v>
      </c>
      <c r="J17" s="1340">
        <v>521728</v>
      </c>
      <c r="K17" s="1340">
        <v>395633</v>
      </c>
      <c r="L17" s="1337">
        <f t="shared" si="0"/>
        <v>3258448</v>
      </c>
      <c r="M17" s="1340">
        <v>3681282</v>
      </c>
    </row>
    <row r="18" spans="2:14" ht="20.100000000000001" customHeight="1" x14ac:dyDescent="0.2">
      <c r="B18" s="1334" t="s">
        <v>2110</v>
      </c>
      <c r="C18" s="1338"/>
      <c r="D18" s="1339"/>
      <c r="E18" s="1340"/>
      <c r="F18" s="1340">
        <v>3440320</v>
      </c>
      <c r="G18" s="1340"/>
      <c r="H18" s="1340"/>
      <c r="I18" s="1340">
        <v>3488272</v>
      </c>
      <c r="J18" s="1340">
        <v>855502</v>
      </c>
      <c r="K18" s="1340"/>
      <c r="L18" s="1337"/>
      <c r="M18" s="1340"/>
    </row>
    <row r="19" spans="2:14" ht="20.100000000000001" customHeight="1" x14ac:dyDescent="0.2">
      <c r="B19" s="1334" t="s">
        <v>2111</v>
      </c>
      <c r="C19" s="1338"/>
      <c r="D19" s="1339"/>
      <c r="E19" s="1340"/>
      <c r="F19" s="1340">
        <v>3440320</v>
      </c>
      <c r="G19" s="1340"/>
      <c r="H19" s="1340"/>
      <c r="I19" s="1340">
        <v>3488272</v>
      </c>
      <c r="J19" s="1340">
        <v>855502</v>
      </c>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7" right="0" top="0.4" bottom="0.35" header="0.25" footer="0.2"/>
  <pageSetup scale="80" firstPageNumber="37" orientation="landscape" useFirstPageNumber="1" r:id="rId1"/>
  <headerFooter alignWithMargins="0">
    <oddFooter>&amp;LSee accompanying notes to the financial statements.
&amp;C-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A8E28-89E7-4332-A1A8-4FCCFCD150A9}">
  <dimension ref="B1:N152"/>
  <sheetViews>
    <sheetView showGridLines="0" view="pageLayout" topLeftCell="A10" zoomScaleNormal="100" workbookViewId="0">
      <selection activeCell="C29" sqref="C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Kaskaskia Spec Educ District</v>
      </c>
      <c r="C1" s="2431"/>
      <c r="D1" s="2431"/>
      <c r="E1" s="2431"/>
      <c r="F1" s="2431"/>
      <c r="G1" s="2431"/>
      <c r="H1" s="2431"/>
      <c r="I1" s="2431"/>
      <c r="J1" s="2431"/>
      <c r="K1" s="2431"/>
      <c r="L1" s="2431"/>
      <c r="M1" s="2431"/>
    </row>
    <row r="2" spans="2:14" ht="15" x14ac:dyDescent="0.2">
      <c r="B2" s="2432">
        <f>'Single Audit Cover'!E7</f>
        <v>13058801060</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1836</v>
      </c>
      <c r="I8" s="1316" t="s">
        <v>1262</v>
      </c>
      <c r="J8" s="1315" t="s">
        <v>1986</v>
      </c>
      <c r="K8" s="1316" t="s">
        <v>1261</v>
      </c>
      <c r="L8" s="1317" t="s">
        <v>1257</v>
      </c>
      <c r="M8" s="1318" t="s">
        <v>30</v>
      </c>
    </row>
    <row r="9" spans="2:14" ht="14.25" x14ac:dyDescent="0.2">
      <c r="B9" s="1322" t="s">
        <v>1259</v>
      </c>
      <c r="C9" s="1310" t="s">
        <v>1732</v>
      </c>
      <c r="D9" s="1311" t="s">
        <v>1733</v>
      </c>
      <c r="E9" s="1319" t="s">
        <v>1836</v>
      </c>
      <c r="F9" s="1320" t="s">
        <v>1986</v>
      </c>
      <c r="G9" s="1321" t="s">
        <v>1836</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2112</v>
      </c>
      <c r="C11" s="1335"/>
      <c r="D11" s="1336"/>
      <c r="E11" s="1337"/>
      <c r="F11" s="1337"/>
      <c r="G11" s="1337"/>
      <c r="H11" s="1337"/>
      <c r="I11" s="1337"/>
      <c r="J11" s="1337"/>
      <c r="K11" s="1337"/>
      <c r="L11" s="1337"/>
      <c r="M11" s="1337"/>
    </row>
    <row r="12" spans="2:14" ht="20.100000000000001" customHeight="1" x14ac:dyDescent="0.2">
      <c r="B12" s="1334" t="s">
        <v>2113</v>
      </c>
      <c r="C12" s="1338"/>
      <c r="D12" s="1339"/>
      <c r="E12" s="1340"/>
      <c r="F12" s="1340"/>
      <c r="G12" s="1340"/>
      <c r="H12" s="1340"/>
      <c r="I12" s="1340"/>
      <c r="J12" s="1340"/>
      <c r="K12" s="1340"/>
      <c r="L12" s="1337"/>
      <c r="M12" s="1340"/>
    </row>
    <row r="13" spans="2:14" ht="20.100000000000001" customHeight="1" x14ac:dyDescent="0.2">
      <c r="B13" s="1334" t="s">
        <v>2114</v>
      </c>
      <c r="C13" s="1338">
        <v>93.778000000000006</v>
      </c>
      <c r="D13" s="1339"/>
      <c r="E13" s="1340">
        <v>94420</v>
      </c>
      <c r="F13" s="1340"/>
      <c r="G13" s="1340">
        <v>94420</v>
      </c>
      <c r="H13" s="1340"/>
      <c r="I13" s="1340"/>
      <c r="J13" s="1340"/>
      <c r="K13" s="1340"/>
      <c r="L13" s="1337">
        <f t="shared" ref="L13:L14" si="0">+G13+I13+K13</f>
        <v>94420</v>
      </c>
      <c r="M13" s="1340" t="s">
        <v>2105</v>
      </c>
    </row>
    <row r="14" spans="2:14" ht="20.100000000000001" customHeight="1" x14ac:dyDescent="0.2">
      <c r="B14" s="1334" t="s">
        <v>2114</v>
      </c>
      <c r="C14" s="1338">
        <v>93.778000000000006</v>
      </c>
      <c r="D14" s="1339"/>
      <c r="E14" s="1340"/>
      <c r="F14" s="1340">
        <v>87172</v>
      </c>
      <c r="G14" s="1340"/>
      <c r="H14" s="1340"/>
      <c r="I14" s="1340">
        <v>87172</v>
      </c>
      <c r="J14" s="1340"/>
      <c r="K14" s="1340"/>
      <c r="L14" s="1337">
        <f t="shared" si="0"/>
        <v>87172</v>
      </c>
      <c r="M14" s="1340" t="s">
        <v>2105</v>
      </c>
    </row>
    <row r="15" spans="2:14" ht="20.100000000000001" customHeight="1" x14ac:dyDescent="0.2">
      <c r="B15" s="1334" t="s">
        <v>2115</v>
      </c>
      <c r="C15" s="1338"/>
      <c r="D15" s="1339"/>
      <c r="E15" s="1340"/>
      <c r="F15" s="1340">
        <v>87172</v>
      </c>
      <c r="G15" s="1340"/>
      <c r="H15" s="1340"/>
      <c r="I15" s="1340">
        <v>87172</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334" t="s">
        <v>2116</v>
      </c>
      <c r="C17" s="1338"/>
      <c r="D17" s="1339"/>
      <c r="E17" s="1340"/>
      <c r="F17" s="1340">
        <f>' SEFA'!F21+' SEFA (2)'!F19+' SEFA (3)'!F15</f>
        <v>3591912</v>
      </c>
      <c r="G17" s="1340"/>
      <c r="H17" s="1340"/>
      <c r="I17" s="1340">
        <f>' SEFA'!I21+' SEFA (2)'!I19+' SEFA (3)'!I15</f>
        <v>3639864</v>
      </c>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1" right="0" top="0.4" bottom="0.35" header="0.25" footer="0.2"/>
  <pageSetup scale="80" firstPageNumber="38" orientation="landscape" useFirstPageNumber="1" r:id="rId1"/>
  <headerFooter alignWithMargins="0">
    <oddFooter>&amp;LSee accompanying notes to the financial statements.
&amp;C-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showWhiteSpace="0" view="pageLayout" zoomScaleNormal="120" workbookViewId="0">
      <selection activeCell="B15" sqref="B1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Kaskaskia Spec Educ District</v>
      </c>
      <c r="B1" s="2436"/>
      <c r="C1" s="2436"/>
      <c r="D1" s="2436"/>
      <c r="E1" s="2436"/>
      <c r="F1" s="2436"/>
    </row>
    <row r="2" spans="1:7" ht="13.5" customHeight="1" x14ac:dyDescent="0.2">
      <c r="A2" s="2432">
        <f>'Single Audit Cover'!E7</f>
        <v>13058801060</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2124</v>
      </c>
      <c r="B7" s="2435"/>
      <c r="C7" s="2435"/>
      <c r="D7" s="2435"/>
      <c r="E7" s="2435"/>
      <c r="F7" s="243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901"/>
      <c r="D11" s="1277"/>
      <c r="E11" s="1901"/>
      <c r="F11" s="1277"/>
      <c r="G11" s="1275"/>
    </row>
    <row r="12" spans="1:7" x14ac:dyDescent="0.2">
      <c r="A12" s="1273" t="s">
        <v>1587</v>
      </c>
      <c r="C12" s="1257"/>
      <c r="D12" s="1257"/>
    </row>
    <row r="13" spans="1:7" ht="27" customHeight="1" x14ac:dyDescent="0.2">
      <c r="A13" s="2435" t="s">
        <v>2125</v>
      </c>
      <c r="B13" s="2435"/>
      <c r="C13" s="2435"/>
      <c r="D13" s="2435"/>
      <c r="E13" s="2435"/>
      <c r="F13" s="2435"/>
    </row>
    <row r="14" spans="1:7" ht="9.75" customHeight="1" x14ac:dyDescent="0.2">
      <c r="C14" s="1257"/>
      <c r="D14" s="1257"/>
    </row>
    <row r="15" spans="1:7" ht="13.5" customHeight="1" x14ac:dyDescent="0.2">
      <c r="C15" s="1845" t="s">
        <v>1270</v>
      </c>
      <c r="D15" s="2440" t="s">
        <v>1269</v>
      </c>
      <c r="E15" s="2440"/>
      <c r="F15" s="2440"/>
    </row>
    <row r="16" spans="1:7" ht="13.5" customHeight="1" x14ac:dyDescent="0.2">
      <c r="A16" s="1279"/>
      <c r="B16" s="1273" t="s">
        <v>1268</v>
      </c>
      <c r="C16" s="1845" t="s">
        <v>1267</v>
      </c>
      <c r="D16" s="2441" t="s">
        <v>1588</v>
      </c>
      <c r="E16" s="2441"/>
      <c r="F16" s="2441"/>
    </row>
    <row r="17" spans="1:6" ht="20.45" customHeight="1" x14ac:dyDescent="0.2">
      <c r="A17" s="1280"/>
      <c r="B17" s="1281" t="s">
        <v>2118</v>
      </c>
      <c r="C17" s="1282">
        <v>84.173000000000002</v>
      </c>
      <c r="D17" s="2439">
        <v>150264</v>
      </c>
      <c r="E17" s="2439"/>
      <c r="F17" s="2439"/>
    </row>
    <row r="18" spans="1:6" ht="20.65" customHeight="1" x14ac:dyDescent="0.2">
      <c r="A18" s="1280"/>
      <c r="B18" s="1281" t="s">
        <v>2119</v>
      </c>
      <c r="C18" s="1282">
        <v>84.027000000000001</v>
      </c>
      <c r="D18" s="2439">
        <v>705238</v>
      </c>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2"/>
      <c r="E30" s="1283"/>
    </row>
    <row r="31" spans="1:6" ht="12" customHeight="1" x14ac:dyDescent="0.2">
      <c r="A31" s="1284" t="s">
        <v>1549</v>
      </c>
      <c r="B31" s="328"/>
      <c r="C31" s="1462"/>
      <c r="D31" s="1902"/>
      <c r="E31" s="1283"/>
    </row>
    <row r="32" spans="1:6" ht="30" customHeight="1" x14ac:dyDescent="0.2">
      <c r="A32" s="2443" t="s">
        <v>2126</v>
      </c>
      <c r="B32" s="2443"/>
      <c r="C32" s="2443"/>
      <c r="D32" s="2443"/>
      <c r="E32" s="2443"/>
      <c r="F32" s="2443"/>
    </row>
    <row r="33" spans="1:6" ht="13.5" customHeight="1" x14ac:dyDescent="0.2">
      <c r="A33" s="328" t="s">
        <v>1434</v>
      </c>
      <c r="B33" s="328"/>
      <c r="C33" s="1285">
        <v>3668</v>
      </c>
      <c r="D33" s="1902"/>
      <c r="E33" s="1283"/>
    </row>
    <row r="34" spans="1:6" ht="13.5" customHeight="1" x14ac:dyDescent="0.2">
      <c r="A34" s="328" t="s">
        <v>1835</v>
      </c>
      <c r="B34" s="328"/>
      <c r="C34" s="1286">
        <v>0</v>
      </c>
      <c r="D34" s="1902" t="s">
        <v>1589</v>
      </c>
      <c r="E34" s="2444">
        <f>+C33+C34</f>
        <v>3668</v>
      </c>
      <c r="F34" s="2445"/>
    </row>
    <row r="35" spans="1:6" ht="12" customHeight="1" x14ac:dyDescent="0.2">
      <c r="A35" s="328"/>
      <c r="B35" s="328"/>
      <c r="C35" s="1903"/>
      <c r="D35" s="1902"/>
      <c r="E35" s="1287"/>
      <c r="F35" s="1288"/>
    </row>
    <row r="36" spans="1:6" ht="13.5" customHeight="1" x14ac:dyDescent="0.2">
      <c r="A36" s="1284" t="s">
        <v>1550</v>
      </c>
      <c r="B36" s="328"/>
      <c r="C36" s="1462"/>
      <c r="D36" s="1902"/>
      <c r="E36" s="1283"/>
    </row>
    <row r="37" spans="1:6" ht="14.25" customHeight="1" x14ac:dyDescent="0.2">
      <c r="A37" s="328" t="s">
        <v>1484</v>
      </c>
      <c r="B37" s="328"/>
      <c r="C37" s="1904"/>
      <c r="D37" s="1902"/>
      <c r="E37" s="1283"/>
    </row>
    <row r="38" spans="1:6" ht="14.25" customHeight="1" x14ac:dyDescent="0.2">
      <c r="A38" s="328"/>
      <c r="B38" s="328" t="s">
        <v>1435</v>
      </c>
      <c r="C38" s="1289">
        <v>0</v>
      </c>
      <c r="D38" s="1902"/>
      <c r="E38" s="1283"/>
    </row>
    <row r="39" spans="1:6" ht="14.25" customHeight="1" x14ac:dyDescent="0.2">
      <c r="A39" s="328"/>
      <c r="B39" s="328" t="s">
        <v>1436</v>
      </c>
      <c r="C39" s="1289">
        <v>0</v>
      </c>
      <c r="D39" s="1902"/>
      <c r="E39" s="1283"/>
    </row>
    <row r="40" spans="1:6" ht="14.25" customHeight="1" x14ac:dyDescent="0.2">
      <c r="A40" s="328"/>
      <c r="B40" s="328" t="s">
        <v>1437</v>
      </c>
      <c r="C40" s="1289">
        <v>0</v>
      </c>
      <c r="D40" s="1902"/>
      <c r="E40" s="1283"/>
    </row>
    <row r="41" spans="1:6" ht="14.25" customHeight="1" x14ac:dyDescent="0.2">
      <c r="A41" s="328"/>
      <c r="B41" s="328" t="s">
        <v>1438</v>
      </c>
      <c r="C41" s="1289">
        <v>0</v>
      </c>
      <c r="D41" s="1902"/>
      <c r="E41" s="1283"/>
    </row>
    <row r="42" spans="1:6" ht="14.25" customHeight="1" x14ac:dyDescent="0.2">
      <c r="A42" s="328" t="s">
        <v>1439</v>
      </c>
      <c r="B42" s="328"/>
      <c r="C42" s="1900">
        <v>0</v>
      </c>
      <c r="D42" s="1902"/>
      <c r="E42" s="1283"/>
    </row>
    <row r="43" spans="1:6" ht="14.25" customHeight="1" x14ac:dyDescent="0.2">
      <c r="A43" s="328" t="s">
        <v>1440</v>
      </c>
      <c r="B43" s="328"/>
      <c r="C43" s="1290" t="s">
        <v>99</v>
      </c>
      <c r="D43" s="1902"/>
      <c r="E43" s="1283"/>
    </row>
    <row r="44" spans="1:6" ht="14.25" customHeight="1" x14ac:dyDescent="0.2">
      <c r="A44" s="328"/>
      <c r="B44" s="328"/>
      <c r="C44" s="1904" t="s">
        <v>1441</v>
      </c>
      <c r="D44" s="1902"/>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4"/>
      <c r="C50" s="1844"/>
      <c r="D50" s="1844"/>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32" right="0.27" top="0.68" bottom="0.75" header="0.26" footer="0.39"/>
  <pageSetup scale="82" firstPageNumber="39" orientation="portrait" useFirstPageNumber="1" r:id="rId1"/>
  <headerFooter alignWithMargins="0">
    <oddFooter>&amp;LSee accompanying notes to the financial statements.
&amp;C -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topLeftCell="A29" zoomScaleNormal="110" workbookViewId="0">
      <selection activeCell="G21" sqref="G2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Kaskaskia Spec Educ District</v>
      </c>
      <c r="C1" s="2452"/>
      <c r="D1" s="2452"/>
      <c r="E1" s="2452"/>
      <c r="F1" s="2452"/>
      <c r="G1" s="2452"/>
      <c r="H1" s="2452"/>
      <c r="I1" s="2452"/>
      <c r="J1" s="1406"/>
    </row>
    <row r="2" spans="2:10" s="317" customFormat="1" ht="12.75" customHeight="1" x14ac:dyDescent="0.2">
      <c r="B2" s="2453">
        <f>'Single Audit Cover'!E7</f>
        <v>13058801060</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t="s">
        <v>2120</v>
      </c>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2061</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t="s">
        <v>2121</v>
      </c>
      <c r="E29" s="2458"/>
      <c r="F29" s="2458"/>
      <c r="G29" s="2458"/>
      <c r="H29" s="2458"/>
      <c r="I29" s="2458"/>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59" t="s">
        <v>1748</v>
      </c>
      <c r="D37" s="2460"/>
      <c r="E37" s="2460"/>
      <c r="F37" s="2461"/>
      <c r="G37" s="2459" t="s">
        <v>1592</v>
      </c>
      <c r="H37" s="2460"/>
      <c r="I37" s="2461"/>
    </row>
    <row r="38" spans="2:9" ht="16.5" customHeight="1" x14ac:dyDescent="0.2">
      <c r="B38" s="1428">
        <v>84.173000000000002</v>
      </c>
      <c r="C38" s="2447" t="s">
        <v>2122</v>
      </c>
      <c r="D38" s="2448"/>
      <c r="E38" s="2448"/>
      <c r="F38" s="2449"/>
      <c r="G38" s="2462">
        <v>185959</v>
      </c>
      <c r="H38" s="2463"/>
      <c r="I38" s="2464"/>
    </row>
    <row r="39" spans="2:9" ht="16.5" customHeight="1" x14ac:dyDescent="0.2">
      <c r="B39" s="1428">
        <v>84.027000000000001</v>
      </c>
      <c r="C39" s="2447" t="s">
        <v>2123</v>
      </c>
      <c r="D39" s="2448"/>
      <c r="E39" s="2448"/>
      <c r="F39" s="2449"/>
      <c r="G39" s="2450">
        <v>3302313</v>
      </c>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3488272</v>
      </c>
      <c r="H43" s="2468"/>
      <c r="I43" s="2468"/>
    </row>
    <row r="44" spans="2:9" ht="12.75" customHeight="1" x14ac:dyDescent="0.2"/>
    <row r="45" spans="2:9" ht="12.75" customHeight="1" x14ac:dyDescent="0.2">
      <c r="B45" s="1419" t="s">
        <v>2060</v>
      </c>
      <c r="D45" s="2469">
        <v>3639864</v>
      </c>
      <c r="E45" s="2470"/>
    </row>
    <row r="46" spans="2:9" ht="5.25" customHeight="1" x14ac:dyDescent="0.2">
      <c r="B46" s="1429"/>
      <c r="D46" s="1430"/>
      <c r="E46" s="1431"/>
    </row>
    <row r="47" spans="2:9" ht="12.75" customHeight="1" x14ac:dyDescent="0.2">
      <c r="B47" s="1297" t="s">
        <v>1594</v>
      </c>
      <c r="C47" s="1297"/>
      <c r="D47" s="1432">
        <f>+G43/D45</f>
        <v>0.95835229008556366</v>
      </c>
      <c r="E47" s="1433"/>
      <c r="F47" s="1434"/>
      <c r="I47" s="1435"/>
    </row>
    <row r="48" spans="2:9" ht="9.9499999999999993" customHeight="1" x14ac:dyDescent="0.2"/>
    <row r="49" spans="1:9" x14ac:dyDescent="0.2">
      <c r="B49" s="1365" t="s">
        <v>1273</v>
      </c>
      <c r="C49" s="1279"/>
      <c r="D49" s="1279"/>
      <c r="E49" s="2471">
        <v>750000</v>
      </c>
      <c r="F49" s="2471"/>
      <c r="G49" s="2471"/>
      <c r="H49" s="322"/>
    </row>
    <row r="51" spans="1:9" ht="13.5" customHeight="1" x14ac:dyDescent="0.2">
      <c r="B51" s="1365" t="s">
        <v>1272</v>
      </c>
      <c r="C51" s="1279"/>
      <c r="E51" s="1422"/>
      <c r="F51" s="1297" t="s">
        <v>885</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2" right="0.27" top="0.68" bottom="0.75" header="0.26" footer="0.39"/>
  <pageSetup scale="92" firstPageNumber="40" orientation="portrait" useFirstPageNumber="1" r:id="rId1"/>
  <headerFooter alignWithMargins="0">
    <oddFooter>&amp;LSee accompanying notes to the financial statements.
&amp;C- &amp;P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topLeftCell="A22"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Kaskaskia Spec Educ District</v>
      </c>
      <c r="C1" s="2451"/>
      <c r="D1" s="2451"/>
      <c r="E1" s="2451"/>
      <c r="F1" s="2451"/>
      <c r="G1" s="2451"/>
      <c r="H1" s="2451"/>
      <c r="I1" s="2451"/>
      <c r="J1" s="2451"/>
      <c r="K1" s="2451"/>
      <c r="L1" s="1371"/>
      <c r="M1" s="1371"/>
    </row>
    <row r="2" spans="1:13" ht="12" customHeight="1" x14ac:dyDescent="0.2">
      <c r="B2" s="2453">
        <f>'Single Audit Cover'!E7</f>
        <v>13058801060</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935"/>
      <c r="M3" s="1935"/>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1987</v>
      </c>
      <c r="D10" s="1383">
        <v>1</v>
      </c>
      <c r="E10" s="322"/>
      <c r="F10" s="1384" t="s">
        <v>1295</v>
      </c>
      <c r="G10" s="1385"/>
      <c r="H10" s="1386" t="s">
        <v>1294</v>
      </c>
      <c r="I10" s="1385" t="s">
        <v>2061</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2082</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t="s">
        <v>2083</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77" t="s">
        <v>2084</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2085</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2086</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t="s">
        <v>2087</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2" t="s">
        <v>2088</v>
      </c>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8" header="0.26" footer="0.31"/>
  <pageSetup firstPageNumber="41" orientation="portrait" useFirstPageNumber="1" r:id="rId1"/>
  <headerFooter alignWithMargins="0">
    <oddFooter>&amp;L&amp;9See accompanying notes to the financial statements.
&amp;C- &amp;P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view="pageLayout" topLeftCell="A16"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Kaskaskia Spec Educ District</v>
      </c>
      <c r="C1" s="2478"/>
      <c r="D1" s="2478"/>
      <c r="E1" s="2478"/>
      <c r="F1" s="2478"/>
      <c r="G1" s="2478"/>
      <c r="H1" s="2478"/>
      <c r="I1" s="2478"/>
      <c r="J1" s="2478"/>
      <c r="K1" s="2478"/>
      <c r="L1" s="1449"/>
    </row>
    <row r="2" spans="1:12" ht="12.75" customHeight="1" x14ac:dyDescent="0.2">
      <c r="B2" s="2479">
        <f>'Single Audit Cover'!E7</f>
        <v>13058801060</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 xml:space="preserve">&amp;LSee accompanying notes to the financial statements.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view="pageLayout" topLeftCell="A26" zoomScaleNormal="110" workbookViewId="0">
      <selection activeCell="C14" sqref="C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Kaskaskia Spec Educ District</v>
      </c>
      <c r="C1" s="2451"/>
      <c r="D1" s="2451"/>
      <c r="E1" s="1469"/>
    </row>
    <row r="2" spans="2:5" s="1279" customFormat="1" ht="12.75" customHeight="1" x14ac:dyDescent="0.2">
      <c r="B2" s="2453">
        <f>'Single Audit Cover'!E7</f>
        <v>13058801060</v>
      </c>
      <c r="C2" s="2453"/>
      <c r="D2" s="2453"/>
      <c r="E2" s="1470"/>
    </row>
    <row r="3" spans="2:5" ht="12.75" customHeight="1" x14ac:dyDescent="0.2">
      <c r="B3" s="2474" t="s">
        <v>1763</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2089</v>
      </c>
      <c r="C7" s="324" t="s">
        <v>2090</v>
      </c>
      <c r="D7" s="324"/>
      <c r="E7" s="324"/>
    </row>
    <row r="8" spans="2:5" ht="13.5" customHeight="1" x14ac:dyDescent="0.2">
      <c r="B8" s="1474"/>
      <c r="C8" s="324" t="s">
        <v>2091</v>
      </c>
      <c r="D8" s="324"/>
      <c r="E8" s="324"/>
    </row>
    <row r="9" spans="2:5" ht="13.5" customHeight="1" x14ac:dyDescent="0.2">
      <c r="B9" s="1475"/>
      <c r="C9" s="323"/>
      <c r="D9" s="323" t="s">
        <v>2092</v>
      </c>
      <c r="E9" s="323"/>
    </row>
    <row r="10" spans="2:5" ht="13.5" customHeight="1" x14ac:dyDescent="0.2">
      <c r="B10" s="1474"/>
      <c r="C10" s="323"/>
      <c r="D10" s="323"/>
      <c r="E10" s="323"/>
    </row>
    <row r="11" spans="2:5" ht="13.5" customHeight="1" x14ac:dyDescent="0.2">
      <c r="B11" s="1474" t="s">
        <v>2093</v>
      </c>
      <c r="C11" s="323" t="s">
        <v>2094</v>
      </c>
      <c r="D11" s="323"/>
      <c r="E11" s="323"/>
    </row>
    <row r="12" spans="2:5" ht="13.5" customHeight="1" x14ac:dyDescent="0.2">
      <c r="B12" s="1474"/>
      <c r="C12" s="323" t="s">
        <v>2095</v>
      </c>
      <c r="D12" s="323"/>
      <c r="E12" s="323"/>
    </row>
    <row r="13" spans="2:5" ht="13.5" customHeight="1" x14ac:dyDescent="0.2">
      <c r="B13" s="1474"/>
      <c r="C13" s="323"/>
      <c r="D13" s="323" t="s">
        <v>2096</v>
      </c>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2" orientation="portrait" useFirstPageNumber="1" r:id="rId1"/>
  <headerFooter alignWithMargins="0">
    <oddFooter>&amp;L&amp;9See accompanying notes to the financial statements.
&amp;C-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6ce3111e-7420-4802-b50a-75d4e9a0b980"/>
    <ds:schemaRef ds:uri="http://schemas.microsoft.com/office/2006/metadata/properties"/>
    <ds:schemaRef ds:uri="http://schemas.microsoft.com/office/2006/documentManagement/types"/>
    <ds:schemaRef ds:uri="d21dc803-237d-4c68-8692-8d731fd29118"/>
    <ds:schemaRef ds:uri="http://purl.org/dc/dcmitype/"/>
    <ds:schemaRef ds:uri="http://purl.org/dc/elements/1.1/"/>
    <ds:schemaRef ds:uri="http://schemas.microsoft.com/office/infopath/2007/PartnerControls"/>
    <ds:schemaRef ds:uri="http://schemas.openxmlformats.org/package/2006/metadata/core-properties"/>
    <ds:schemaRef ds:uri="4d435f69-8686-490b-bd6d-b153bf22ab5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2019-10-16T19:29:09Z</cp:lastPrinted>
  <dcterms:created xsi:type="dcterms:W3CDTF">2003-10-29T19:06:34Z</dcterms:created>
  <dcterms:modified xsi:type="dcterms:W3CDTF">2019-12-10T22:10:37Z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