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A1561F33-52C9-41D5-8837-C0BD7F4100C2}" xr6:coauthVersionLast="36" xr6:coauthVersionMax="36" xr10:uidLastSave="{00000000-0000-0000-0000-000000000000}"/>
  <bookViews>
    <workbookView xWindow="3825" yWindow="3195" windowWidth="15330" windowHeight="108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EFA NOTES (2)" sheetId="188" r:id="rId32"/>
    <sheet name="SF&amp;QC Sec-1" sheetId="174" r:id="rId33"/>
    <sheet name="SF&amp;QC Sec-2" sheetId="175" r:id="rId34"/>
    <sheet name="SF&amp;QC Sec-2 (2)" sheetId="187"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31">'SEFA NOTES (2)'!$A$1:$F$47</definedName>
    <definedName name="_xlnm.Print_Area" localSheetId="26">'SEFA Reconcile'!$A$1:$E$49</definedName>
    <definedName name="_xlnm.Print_Area" localSheetId="32">'SF&amp;QC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4" i="188" l="1"/>
  <c r="E27" i="179"/>
  <c r="K25" i="179"/>
  <c r="J25" i="179"/>
  <c r="I25" i="179"/>
  <c r="H25" i="179"/>
  <c r="G25" i="179"/>
  <c r="G27" i="179" s="1"/>
  <c r="F25" i="179"/>
  <c r="E25" i="179"/>
  <c r="K20" i="179"/>
  <c r="J20" i="179"/>
  <c r="J27" i="179" s="1"/>
  <c r="I20" i="179"/>
  <c r="H20" i="179"/>
  <c r="G20" i="179"/>
  <c r="F20" i="179"/>
  <c r="K15" i="179"/>
  <c r="J15" i="179"/>
  <c r="I15" i="179"/>
  <c r="H15" i="179"/>
  <c r="G15" i="179"/>
  <c r="F15" i="179"/>
  <c r="E15" i="179"/>
  <c r="I27" i="179" l="1"/>
  <c r="K27" i="179"/>
  <c r="H27" i="179"/>
  <c r="F27" i="179"/>
  <c r="A4" i="188"/>
  <c r="K17" i="184"/>
  <c r="J17" i="184"/>
  <c r="J27" i="184" s="1"/>
  <c r="I17" i="184"/>
  <c r="L17" i="184" s="1"/>
  <c r="H17" i="184"/>
  <c r="G17" i="184"/>
  <c r="F17" i="184"/>
  <c r="E17" i="184"/>
  <c r="L16" i="184"/>
  <c r="J27" i="183"/>
  <c r="H27" i="183"/>
  <c r="K21" i="183"/>
  <c r="K27" i="183" s="1"/>
  <c r="J21" i="183"/>
  <c r="I21" i="183"/>
  <c r="H21" i="183"/>
  <c r="G21" i="183"/>
  <c r="F21" i="183"/>
  <c r="E21" i="183"/>
  <c r="E27" i="183" s="1"/>
  <c r="K16" i="183"/>
  <c r="J16" i="183"/>
  <c r="I16" i="183"/>
  <c r="I27" i="183" s="1"/>
  <c r="H16" i="183"/>
  <c r="G16" i="183"/>
  <c r="G27" i="183" s="1"/>
  <c r="F16" i="183"/>
  <c r="F27" i="183" s="1"/>
  <c r="E16" i="183"/>
  <c r="B4" i="187"/>
  <c r="L26" i="184"/>
  <c r="L25" i="184"/>
  <c r="L24" i="184"/>
  <c r="L23" i="184"/>
  <c r="L22" i="184"/>
  <c r="L21" i="184"/>
  <c r="L20" i="184"/>
  <c r="L19" i="184"/>
  <c r="L18" i="184"/>
  <c r="L15" i="184"/>
  <c r="L14" i="184"/>
  <c r="L13" i="184"/>
  <c r="L12" i="184"/>
  <c r="L11" i="184"/>
  <c r="B4" i="184"/>
  <c r="L26" i="183"/>
  <c r="L25" i="183"/>
  <c r="L24" i="183"/>
  <c r="L23" i="183"/>
  <c r="L22" i="183"/>
  <c r="L20" i="183"/>
  <c r="L19" i="183"/>
  <c r="L18" i="183"/>
  <c r="L17" i="183"/>
  <c r="L16" i="183"/>
  <c r="L15" i="183"/>
  <c r="L14" i="183"/>
  <c r="L13" i="183"/>
  <c r="L12" i="183"/>
  <c r="L11" i="183"/>
  <c r="B4" i="183"/>
  <c r="L27" i="183" l="1"/>
  <c r="G27" i="184"/>
  <c r="F27" i="184"/>
  <c r="E27" i="184"/>
  <c r="H27" i="184"/>
  <c r="L21" i="183"/>
  <c r="K27" i="184"/>
  <c r="I27" i="184"/>
  <c r="F38" i="181"/>
  <c r="F37" i="181"/>
  <c r="F36" i="181"/>
  <c r="F35" i="181"/>
  <c r="F34" i="181"/>
  <c r="F33" i="181"/>
  <c r="F29" i="181"/>
  <c r="L27" i="184" l="1"/>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G35" i="181"/>
  <c r="E35" i="181"/>
  <c r="G34" i="181"/>
  <c r="E34" i="181"/>
  <c r="G33" i="181"/>
  <c r="E33" i="181"/>
  <c r="G29" i="181"/>
  <c r="E29" i="181"/>
  <c r="G38" i="181"/>
  <c r="E38" i="181"/>
  <c r="E28" i="181"/>
  <c r="F28" i="181" s="1"/>
  <c r="E27" i="181"/>
  <c r="F27" i="181" s="1"/>
  <c r="G27" i="181" s="1"/>
  <c r="E26" i="181"/>
  <c r="F26" i="181" s="1"/>
  <c r="E25" i="181"/>
  <c r="E24" i="181"/>
  <c r="E23" i="181"/>
  <c r="E22" i="181"/>
  <c r="E21" i="181"/>
  <c r="E20" i="181"/>
  <c r="F20" i="181" s="1"/>
  <c r="E19" i="181"/>
  <c r="F19" i="181" s="1"/>
  <c r="F23" i="181" l="1"/>
  <c r="G23" i="181" s="1"/>
  <c r="F21" i="181"/>
  <c r="G21" i="181" s="1"/>
  <c r="F25" i="181"/>
  <c r="G25" i="181" s="1"/>
  <c r="F24" i="181"/>
  <c r="G24" i="181" s="1"/>
  <c r="F22" i="181"/>
  <c r="G22" i="181" s="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8" l="1"/>
  <c r="B1" i="187"/>
  <c r="B1" i="184"/>
  <c r="B1" i="183"/>
  <c r="B2" i="179"/>
  <c r="A2" i="188"/>
  <c r="B2" i="187"/>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E26" i="108"/>
  <c r="G26" i="108"/>
  <c r="E27" i="108"/>
  <c r="F27" i="108"/>
  <c r="G27" i="108"/>
  <c r="G28" i="108"/>
  <c r="G29" i="108"/>
  <c r="G30"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5"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L22" i="37"/>
  <c r="L5" i="11"/>
  <c r="B2056" i="106" s="1"/>
  <c r="D2056" i="106" s="1"/>
  <c r="B5752" i="106"/>
  <c r="D5752" i="106" s="1"/>
  <c r="D22" i="37" l="1"/>
  <c r="F38" i="34"/>
  <c r="F36" i="34"/>
  <c r="F36" i="108"/>
  <c r="J129" i="29"/>
  <c r="B7038" i="106" s="1"/>
  <c r="D7038" i="106" s="1"/>
  <c r="G35" i="108"/>
  <c r="D36" i="108"/>
  <c r="F31" i="108"/>
  <c r="I129" i="29"/>
  <c r="B7037" i="106" s="1"/>
  <c r="D7037" i="106" s="1"/>
  <c r="K184" i="29"/>
  <c r="F13" i="4" s="1"/>
  <c r="B2596" i="106" s="1"/>
  <c r="D2596" i="106" s="1"/>
  <c r="H28" i="118"/>
  <c r="E35" i="108"/>
  <c r="F28" i="108"/>
  <c r="E29" i="108"/>
  <c r="D24" i="37"/>
  <c r="B4270" i="106" s="1"/>
  <c r="D4270" i="106" s="1"/>
  <c r="F19" i="7"/>
  <c r="B1807" i="106" s="1"/>
  <c r="D1807" i="106" s="1"/>
  <c r="F42" i="34"/>
  <c r="D68" i="36"/>
  <c r="C129" i="29"/>
  <c r="B1225" i="106" s="1"/>
  <c r="D1225" i="106" s="1"/>
  <c r="L367" i="29"/>
  <c r="L342" i="29"/>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F41" i="108" s="1"/>
  <c r="G43" i="108" s="1"/>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5778" i="106" l="1"/>
  <c r="D5778" i="106" s="1"/>
  <c r="G6" i="4"/>
  <c r="B2604" i="106" s="1"/>
  <c r="D2604" i="106" s="1"/>
  <c r="D41" i="108"/>
  <c r="E43" i="108" s="1"/>
  <c r="D7251" i="106"/>
  <c r="D44" i="36"/>
  <c r="K28" i="118"/>
  <c r="O27" i="118" s="1"/>
  <c r="O29" i="118" s="1"/>
  <c r="D7256" i="106"/>
  <c r="K365" i="29"/>
  <c r="B5770" i="106"/>
  <c r="D5770" i="106" s="1"/>
  <c r="L114" i="29"/>
  <c r="C114" i="29"/>
  <c r="B757" i="106" s="1"/>
  <c r="D757" i="106" s="1"/>
  <c r="L16" i="11"/>
  <c r="B2061" i="106" s="1"/>
  <c r="D2061"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5508" i="106"/>
  <c r="D5508" i="106" s="1"/>
  <c r="B2567" i="106"/>
  <c r="D2567" i="106" s="1"/>
  <c r="K17" i="4" l="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<sst xmlns="http://schemas.openxmlformats.org/spreadsheetml/2006/main" count="5350" uniqueCount="2188">
  <si>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</si>
  <si>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</si>
  <si>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</si>
  <si>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</si>
  <si>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</si>
  <si>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</si>
  <si>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</si>
  <si>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</si>
  <si>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</si>
  <si>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</si>
  <si>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</si>
  <si>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</si>
  <si>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</si>
  <si>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</si>
  <si>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</si>
  <si>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</si>
  <si>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</si>
  <si>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</si>
  <si>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</si>
  <si>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</si>
  <si>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</si>
  <si>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</si>
  <si>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</si>
  <si>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</si>
  <si>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</si>
  <si>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</si>
  <si>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</si>
  <si>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</si>
  <si>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</si>
  <si>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</si>
  <si>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</si>
  <si>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</si>
  <si>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</si>
  <si>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</si>
  <si>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</si>
  <si>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</si>
  <si>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</si>
  <si>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</si>
  <si>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</si>
  <si>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</si>
  <si>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</si>
  <si>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</si>
  <si>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</si>
  <si>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</si>
  <si>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</si>
  <si>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</si>
  <si>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</si>
  <si>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</si>
  <si>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</si>
  <si>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</si>
  <si>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</si>
  <si>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</si>
  <si>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</si>
  <si>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</si>
  <si>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</si>
  <si>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</si>
  <si>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</si>
  <si>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</si>
  <si>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</si>
  <si>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</si>
  <si>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</si>
  <si>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</si>
  <si>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</si>
  <si>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</si>
  <si>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</si>
  <si>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</si>
  <si>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</si>
  <si>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</si>
  <si>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</si>
  <si>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</si>
  <si>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</si>
  <si>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</si>
  <si>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</si>
  <si>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</si>
  <si>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</si>
  <si>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</si>
  <si>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</si>
  <si>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</si>
  <si>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</si>
  <si>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</si>
  <si>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</si>
  <si>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</si>
  <si>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</si>
  <si>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</si>
  <si>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</si>
  <si>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</si>
  <si>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</si>
  <si>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</si>
  <si>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</si>
  <si>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</si>
  <si>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</si>
  <si>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</si>
  <si>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</si>
  <si>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</si>
  <si>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</si>
  <si>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</si>
  <si>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</si>
  <si>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</si>
  <si>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</si>
  <si>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</si>
  <si>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</si>
  <si>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</si>
  <si>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</si>
  <si>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</si>
  <si>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</si>
  <si>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</si>
  <si>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</si>
  <si>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</si>
  <si>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</si>
  <si>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</si>
  <si>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</si>
  <si>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</si>
  <si>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</si>
  <si>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</si>
  <si>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</si>
  <si>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</si>
  <si>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</si>
  <si>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</si>
  <si>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</si>
  <si>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</si>
  <si>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</si>
  <si>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</si>
  <si>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</si>
  <si>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</si>
  <si>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</si>
  <si>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</si>
  <si>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</si>
  <si>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</si>
  <si>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</si>
  <si>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</si>
  <si>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</si>
  <si>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</si>
  <si>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</si>
  <si>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</si>
  <si>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</si>
  <si>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</si>
  <si>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</si>
  <si>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</si>
  <si>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</si>
  <si>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</si>
  <si>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</si>
  <si>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</si>
  <si>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</si>
  <si>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</si>
  <si>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</si>
  <si>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</si>
  <si>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</si>
  <si>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</si>
  <si>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</si>
  <si>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</si>
  <si>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</si>
  <si>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</si>
  <si>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</si>
  <si>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</si>
  <si>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</si>
  <si>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</si>
  <si>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</si>
  <si>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</si>
  <si>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</si>
  <si>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</si>
  <si>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</si>
  <si>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</si>
  <si>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</si>
  <si>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</si>
  <si>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</si>
  <si>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</si>
  <si>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</si>
  <si>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</si>
  <si>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</si>
  <si>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</si>
  <si>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</si>
  <si>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</si>
  <si>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</si>
  <si>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</si>
  <si>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</si>
  <si>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</si>
  <si>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</si>
  <si>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</si>
  <si>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</si>
  <si>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</si>
  <si>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</si>
  <si>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</si>
  <si>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</si>
  <si>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</si>
  <si>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</si>
  <si>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</si>
  <si>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</si>
  <si>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</si>
  <si>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</si>
  <si>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</si>
  <si>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</si>
  <si>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</si>
  <si>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</si>
  <si>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</si>
  <si>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</si>
  <si>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</si>
  <si>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</si>
  <si>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</si>
  <si>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</si>
  <si>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</si>
  <si>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</si>
  <si>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</si>
  <si>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</si>
  <si>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</si>
  <si>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</si>
  <si>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</si>
  <si>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</si>
  <si>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</si>
  <si>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</si>
  <si>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</si>
  <si>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</si>
  <si>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</si>
  <si>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</si>
  <si>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</si>
  <si>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</si>
  <si>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</si>
  <si>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</si>
  <si>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</si>
  <si>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</si>
  <si>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</si>
  <si>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</si>
  <si>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</si>
  <si>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</si>
  <si>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</si>
  <si>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</si>
  <si>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</si>
  <si>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</si>
  <si>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</si>
  <si>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</si>
  <si>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</si>
  <si>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</si>
  <si>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</si>
  <si>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</si>
  <si>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</si>
  <si>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</si>
  <si>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</si>
  <si>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</si>
  <si>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</si>
  <si>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</si>
  <si>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</si>
  <si>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</si>
  <si>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</si>
  <si>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</si>
  <si>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</si>
  <si>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</si>
  <si>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</si>
  <si>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</si>
  <si>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</si>
  <si>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</si>
  <si>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</si>
  <si>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</si>
  <si>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</si>
  <si>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</si>
  <si>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</si>
  <si>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</si>
  <si>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</si>
  <si>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</si>
  <si>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</si>
  <si>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</si>
  <si>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</si>
  <si>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</si>
  <si>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</si>
  <si>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</si>
  <si>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</si>
  <si>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</si>
  <si>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</si>
  <si>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</si>
  <si>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</si>
  <si>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</si>
  <si>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</si>
  <si>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</si>
  <si>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</si>
  <si>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</si>
  <si>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</si>
  <si>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</si>
  <si>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</si>
  <si>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</si>
  <si>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</si>
  <si>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</si>
  <si>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</si>
  <si>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</si>
  <si>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</si>
  <si>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</si>
  <si>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</si>
  <si>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</si>
  <si>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</si>
  <si>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</si>
  <si>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</si>
  <si>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</si>
  <si>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</si>
  <si>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</si>
  <si>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</si>
  <si>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</si>
  <si>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</si>
  <si>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</si>
  <si>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</si>
  <si>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</si>
  <si>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</si>
  <si>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</si>
  <si>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</si>
  <si>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</si>
  <si>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</si>
  <si>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</si>
  <si>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</si>
  <si>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</si>
  <si>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</si>
  <si>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</si>
  <si>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</si>
  <si>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</si>
  <si>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</si>
  <si>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</si>
  <si>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</si>
  <si>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</si>
  <si>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</si>
  <si>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</si>
  <si>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</si>
  <si>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</si>
  <si>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</si>
  <si>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</si>
  <si>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</si>
  <si>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</si>
  <si>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</si>
  <si>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</si>
  <si>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</si>
  <si>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</si>
  <si>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</si>
  <si>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</si>
  <si>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</si>
  <si>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</si>
  <si>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</si>
  <si>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</si>
  <si>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</si>
  <si>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</si>
  <si>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</si>
  <si>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</si>
  <si>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</si>
  <si>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</si>
  <si>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</si>
  <si>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</si>
  <si>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</si>
  <si>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</si>
  <si>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</si>
  <si>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</si>
  <si>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</si>
  <si>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</si>
  <si>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</si>
  <si>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</si>
  <si>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</si>
  <si>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</si>
  <si>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</si>
  <si>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</si>
  <si>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</si>
  <si>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</si>
  <si>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</si>
  <si>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</si>
  <si>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</si>
  <si>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</si>
  <si>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</si>
  <si>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</si>
  <si>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</si>
  <si>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</si>
  <si>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</si>
  <si>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</si>
  <si>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</si>
  <si>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</si>
  <si>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</si>
  <si>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</si>
  <si>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</si>
  <si>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</si>
  <si>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</si>
  <si>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</si>
  <si>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</si>
  <si>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</si>
  <si>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</si>
  <si>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</si>
  <si>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</si>
  <si>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</si>
  <si>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</si>
  <si>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</si>
  <si>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</si>
  <si>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</si>
  <si>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</si>
  <si>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</si>
  <si>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</si>
  <si>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</si>
  <si>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</si>
  <si>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</si>
  <si>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</si>
  <si>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</si>
  <si>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</si>
  <si>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</si>
  <si>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</si>
  <si>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</si>
  <si>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</si>
  <si>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</si>
  <si>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</si>
  <si>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</si>
  <si>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</si>
  <si>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</si>
  <si>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</si>
  <si>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</si>
  <si>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</si>
  <si>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</si>
  <si>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</si>
  <si>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</si>
  <si>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</si>
  <si>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</si>
  <si>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</si>
  <si>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</si>
  <si>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</si>
  <si>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</si>
  <si>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</si>
  <si>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</si>
  <si>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</si>
  <si>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</si>
  <si>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</si>
  <si>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</si>
  <si>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</si>
  <si>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</si>
  <si>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</si>
  <si>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</si>
  <si>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</si>
  <si>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</si>
  <si>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</si>
  <si>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</si>
  <si>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</si>
  <si>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</si>
  <si>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</si>
  <si>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</si>
  <si>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</si>
  <si>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</si>
  <si>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</si>
  <si>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</si>
  <si>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</si>
  <si>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</si>
  <si>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</si>
  <si>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</si>
  <si>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</si>
  <si>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</si>
  <si>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</si>
  <si>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</si>
  <si>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</si>
  <si>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</si>
  <si>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</si>
  <si>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</si>
  <si>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</si>
  <si>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</si>
  <si>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</si>
  <si>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</si>
  <si>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</si>
  <si>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</si>
  <si>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</si>
  <si>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</si>
  <si>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</si>
  <si>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</si>
  <si>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</si>
  <si>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</si>
  <si>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</si>
  <si>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</si>
  <si>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</si>
  <si>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</si>
  <si>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</si>
  <si>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</si>
  <si>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</si>
  <si>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</si>
  <si>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</si>
  <si>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</si>
  <si>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</si>
  <si>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</si>
  <si>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</si>
  <si>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</si>
  <si>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</si>
  <si>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</si>
  <si>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</si>
  <si>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</si>
  <si>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</si>
  <si>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</si>
  <si>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</si>
  <si>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</si>
  <si>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</si>
  <si>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</si>
  <si>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</si>
  <si>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</si>
  <si>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</si>
  <si>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</si>
  <si>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</si>
  <si>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</si>
  <si>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</si>
  <si>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</si>
  <si>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</si>
  <si>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</si>
  <si>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</si>
  <si>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</si>
  <si>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</si>
  <si>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</si>
  <si>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</si>
  <si>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</si>
  <si>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</si>
  <si>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</si>
  <si>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</si>
  <si>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</si>
  <si>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</si>
  <si>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</si>
  <si>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</si>
  <si>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</si>
  <si>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</si>
  <si>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</si>
  <si>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</si>
  <si>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</si>
  <si>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</si>
  <si>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</si>
  <si>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</si>
  <si>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</si>
  <si>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</si>
  <si>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</si>
  <si>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</si>
  <si>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</si>
  <si>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</si>
  <si>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</si>
  <si>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</si>
  <si>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</si>
  <si>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</si>
  <si>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</si>
  <si>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</si>
  <si>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</si>
  <si>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</si>
  <si>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</si>
  <si>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</si>
  <si>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</si>
  <si>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</si>
  <si>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</si>
  <si>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</si>
  <si>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</si>
  <si>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</si>
  <si>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</si>
  <si>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</si>
  <si>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</si>
  <si>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</si>
  <si>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</si>
  <si>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</si>
  <si>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</si>
  <si>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</si>
  <si>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</si>
  <si>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</si>
  <si>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</si>
  <si>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</si>
  <si>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</si>
  <si>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</si>
  <si>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</si>
  <si>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</si>
  <si>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</si>
  <si>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</si>
  <si>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</si>
  <si>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</si>
  <si>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</si>
  <si>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</si>
  <si>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</si>
  <si>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</si>
  <si>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</si>
  <si>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</si>
  <si>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</si>
  <si>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</si>
  <si>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</si>
  <si>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</si>
  <si>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</si>
  <si>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</si>
  <si>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</si>
  <si>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</si>
  <si>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</si>
  <si>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</si>
  <si>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</si>
  <si>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</si>
  <si>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</si>
  <si>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</si>
  <si>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</si>
  <si>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</si>
  <si>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</si>
  <si>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</si>
  <si>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</si>
  <si>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</si>
  <si>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</si>
  <si>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</si>
  <si>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</si>
  <si>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</si>
  <si>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</si>
  <si>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</si>
  <si>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</si>
  <si>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</si>
  <si>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</si>
  <si>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</si>
  <si>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</si>
  <si>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</si>
  <si>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</si>
  <si>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</si>
  <si>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</si>
  <si>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</si>
  <si>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</si>
  <si>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</si>
  <si>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</si>
  <si>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</si>
  <si>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</si>
  <si>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</si>
  <si>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</si>
  <si>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</si>
  <si>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</si>
  <si>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</si>
  <si>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</si>
  <si>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</si>
  <si>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</si>
  <si>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</si>
  <si>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</si>
  <si>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</si>
  <si>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</si>
  <si>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</si>
  <si>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</si>
  <si>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</si>
  <si>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</si>
  <si>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</si>
  <si>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</si>
  <si>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</si>
  <si>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</si>
  <si>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</si>
  <si>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</si>
  <si>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</si>
  <si>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</si>
  <si>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</si>
  <si>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</si>
  <si>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</si>
  <si>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</si>
  <si>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</si>
  <si>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</si>
  <si>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</si>
  <si>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</si>
  <si>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</si>
  <si>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</si>
  <si>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</si>
  <si>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</si>
  <si>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</si>
  <si>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</si>
  <si>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</si>
  <si>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</si>
  <si>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</si>
  <si>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</si>
  <si>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</si>
  <si>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</si>
  <si>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</si>
  <si>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</si>
  <si>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</si>
  <si>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</si>
  <si>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</si>
  <si>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</si>
  <si>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</si>
  <si>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</si>
  <si>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</si>
  <si>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</si>
  <si>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</si>
  <si>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</si>
  <si>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</si>
  <si>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</si>
  <si>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</si>
  <si>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</si>
  <si>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</si>
  <si>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</si>
  <si>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</si>
  <si>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</si>
  <si>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</si>
  <si>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</si>
  <si>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</si>
  <si>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</si>
  <si>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</si>
  <si>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</si>
  <si>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</si>
  <si>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</si>
  <si>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</si>
  <si>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</si>
  <si>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</si>
  <si>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</si>
  <si>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</si>
  <si>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</si>
  <si>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</si>
  <si>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</si>
  <si>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</si>
  <si>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</si>
  <si>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</si>
  <si>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</si>
  <si>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</si>
  <si>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</si>
  <si>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</si>
  <si>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</si>
  <si>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</si>
  <si>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</si>
  <si>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</si>
  <si>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</si>
  <si>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</si>
  <si>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</si>
  <si>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</si>
  <si>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</si>
  <si>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</si>
  <si>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</si>
  <si>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</si>
  <si>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</si>
  <si>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</si>
  <si>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</si>
  <si>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</si>
  <si>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</si>
  <si>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</si>
  <si>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</si>
  <si>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</si>
  <si>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</si>
  <si>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</si>
  <si>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</si>
  <si>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</si>
  <si>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</si>
  <si>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</si>
  <si>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</si>
  <si>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</si>
  <si>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</si>
  <si>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</si>
  <si>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</si>
  <si>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</si>
  <si>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</si>
  <si>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</si>
  <si>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</si>
  <si>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</si>
  <si>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</si>
  <si>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</si>
  <si>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</si>
  <si>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</si>
  <si>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</si>
  <si>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</si>
  <si>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</si>
  <si>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</si>
  <si>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</si>
  <si>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</si>
  <si>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</si>
  <si>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</si>
  <si>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</si>
  <si>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</si>
  <si>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</si>
  <si>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</si>
  <si>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</si>
  <si>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</si>
  <si>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</si>
  <si>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</si>
  <si>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</si>
  <si>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</si>
  <si>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</si>
  <si>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</si>
  <si>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</si>
  <si>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</si>
  <si>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</si>
  <si>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</si>
  <si>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</si>
  <si>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</si>
  <si>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</si>
  <si>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</si>
  <si>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</si>
  <si>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</si>
  <si>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</si>
  <si>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</si>
  <si>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</si>
  <si>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</si>
  <si>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</si>
  <si>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</si>
  <si>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</si>
  <si>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</si>
  <si>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</si>
  <si>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</si>
  <si>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</si>
  <si>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</si>
  <si>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</si>
  <si>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</si>
  <si>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</si>
  <si>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</si>
  <si>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</si>
  <si>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</si>
  <si>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</si>
  <si>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</si>
  <si>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</si>
  <si>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</si>
  <si>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</si>
  <si>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</si>
  <si>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</si>
  <si>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</si>
  <si>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</si>
  <si>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</si>
  <si>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</si>
  <si>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</si>
  <si>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</si>
  <si>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</si>
  <si>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</si>
  <si>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</si>
  <si>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</si>
  <si>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</si>
  <si>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</si>
  <si>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</si>
  <si>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</si>
  <si>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</si>
  <si>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</si>
  <si>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</si>
  <si>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</si>
  <si>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</si>
  <si>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</si>
  <si>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</si>
  <si>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</si>
  <si>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</si>
  <si>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</si>
  <si>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</si>
  <si>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</si>
  <si>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</si>
  <si>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</si>
  <si>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</si>
  <si>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</si>
  <si>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</si>
  <si>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</si>
  <si>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</si>
  <si>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</si>
  <si>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</si>
  <si>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</si>
  <si>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</si>
  <si>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</si>
  <si>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</si>
  <si>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</si>
  <si>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</si>
  <si>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</si>
  <si>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</si>
  <si>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</si>
  <si>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</si>
  <si>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</si>
  <si>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</si>
  <si>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</si>
  <si>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</si>
  <si>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</si>
  <si>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</si>
  <si>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</si>
  <si>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</si>
  <si>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</si>
  <si>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</si>
  <si>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</si>
  <si>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</si>
  <si>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</si>
  <si>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</si>
  <si>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</si>
  <si>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</si>
  <si>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</si>
  <si>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</si>
  <si>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</si>
  <si>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</si>
  <si>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</si>
  <si>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</si>
  <si>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</si>
  <si>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</si>
  <si>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</si>
  <si>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</si>
  <si>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</si>
  <si>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</si>
  <si>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</si>
  <si>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</si>
  <si>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</si>
  <si>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</si>
  <si>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</si>
  <si>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</si>
  <si>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</si>
  <si>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</si>
  <si>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</si>
  <si>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</si>
  <si>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</si>
  <si>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</si>
  <si>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</si>
  <si>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</si>
  <si>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</si>
  <si>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</si>
  <si>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</si>
  <si>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</si>
  <si>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</si>
  <si>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</si>
  <si>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</si>
  <si>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</si>
  <si>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</si>
  <si>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</si>
  <si>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</si>
  <si>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</si>
  <si>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</si>
  <si>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</si>
  <si>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</si>
  <si>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</si>
  <si>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</si>
  <si>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</si>
  <si>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</si>
  <si>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</si>
  <si>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</si>
  <si>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</si>
  <si>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</si>
  <si>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</si>
  <si>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</si>
  <si>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</si>
  <si>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</si>
  <si>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</si>
  <si>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</si>
  <si>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</si>
  <si>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</si>
  <si>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</si>
  <si>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</si>
  <si>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</si>
  <si>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</si>
  <si>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</si>
  <si>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</si>
  <si>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</si>
  <si>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</si>
  <si>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</si>
  <si>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</si>
  <si>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</si>
  <si>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</si>
  <si>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</si>
  <si>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</si>
  <si>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</si>
  <si>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</si>
  <si>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</si>
  <si>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</si>
  <si>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</si>
  <si>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</si>
  <si>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</si>
  <si>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</si>
  <si>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</si>
  <si>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</si>
  <si>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</si>
  <si>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</si>
  <si>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</si>
  <si>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</si>
  <si>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</si>
  <si>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</si>
  <si>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</si>
  <si>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</si>
  <si>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</si>
  <si>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</si>
  <si>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</si>
  <si>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</si>
  <si>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</si>
  <si>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</si>
  <si>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</si>
  <si>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</si>
  <si>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</si>
  <si>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</si>
  <si>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</si>
  <si>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</si>
  <si>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</si>
  <si>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</si>
  <si>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</si>
  <si>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</si>
  <si>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</si>
  <si>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</si>
  <si>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</si>
  <si>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</si>
  <si>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</si>
  <si>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</si>
  <si>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</si>
  <si>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</si>
  <si>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</si>
  <si>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</si>
  <si>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</si>
  <si>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</si>
  <si>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</si>
  <si>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</si>
  <si>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</si>
  <si>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</si>
  <si>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</si>
  <si>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</si>
  <si>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</si>
  <si>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</si>
  <si>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</si>
  <si>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</si>
  <si>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</si>
  <si>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</si>
  <si>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</si>
  <si>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</si>
  <si>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</si>
  <si>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</si>
  <si>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</si>
  <si>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</si>
  <si>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</si>
  <si>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</si>
  <si>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</si>
  <si>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</si>
  <si>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</si>
  <si>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</si>
  <si>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</si>
  <si>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</si>
  <si>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</si>
  <si>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</si>
  <si>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</si>
  <si>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</si>
  <si>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</si>
  <si>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</si>
  <si>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</si>
  <si>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</si>
  <si>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</si>
  <si>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</si>
  <si>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</si>
  <si>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</si>
  <si>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</si>
  <si>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</si>
  <si>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</si>
  <si>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</si>
  <si>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</si>
  <si>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</si>
  <si>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</si>
  <si>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</si>
  <si>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</si>
  <si>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</si>
  <si>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</si>
  <si>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</si>
  <si>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</si>
  <si>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</si>
  <si>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</si>
  <si>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</si>
  <si>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</si>
  <si>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</si>
  <si>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</si>
  <si>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</si>
  <si>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</si>
  <si>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</si>
  <si>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</si>
  <si>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</si>
  <si>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</si>
  <si>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</si>
  <si>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</si>
  <si>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</si>
  <si>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</si>
  <si>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</si>
  <si>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</si>
  <si>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</si>
  <si>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</si>
  <si>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</si>
  <si>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</si>
  <si>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</si>
  <si>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</si>
  <si>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</si>
  <si>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</si>
  <si>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</si>
  <si>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</si>
  <si>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</si>
  <si>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</si>
  <si>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</si>
  <si>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</si>
  <si>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</si>
  <si>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</si>
  <si>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</si>
  <si>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</si>
  <si>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</si>
  <si>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</si>
  <si>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</si>
  <si>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</si>
  <si>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</si>
  <si>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</si>
  <si>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</si>
  <si>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</si>
  <si>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</si>
  <si>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</si>
  <si>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</si>
  <si>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</si>
  <si>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</si>
  <si>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</si>
  <si>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</si>
  <si>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</si>
  <si>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</si>
  <si>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</si>
  <si>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</si>
  <si>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</si>
  <si>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</si>
  <si>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</si>
  <si>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</si>
  <si>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</si>
  <si>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</si>
  <si>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</si>
  <si>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</si>
  <si>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</si>
  <si>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</si>
  <si>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</si>
  <si>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</si>
  <si>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</si>
  <si>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</si>
  <si>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</si>
  <si>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</si>
  <si>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</si>
  <si>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</si>
  <si>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</si>
  <si>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</si>
  <si>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</si>
  <si>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</si>
  <si>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</si>
  <si>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</si>
  <si>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</si>
  <si>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</si>
  <si>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</si>
  <si>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</si>
  <si>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</si>
  <si>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</si>
  <si>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</si>
  <si>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</si>
  <si>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</si>
  <si>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</si>
  <si>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</si>
  <si>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</si>
  <si>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</si>
  <si>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</si>
  <si>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</si>
  <si>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</si>
  <si>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</si>
  <si>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</si>
  <si>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</si>
  <si>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</si>
  <si>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</si>
  <si>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</si>
  <si>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</si>
  <si>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</si>
  <si>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</si>
  <si>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</si>
  <si>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</si>
  <si>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</si>
  <si>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</si>
  <si>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</si>
  <si>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</si>
  <si>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</si>
  <si>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</si>
  <si>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</si>
  <si>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</si>
  <si>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</si>
  <si>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</si>
  <si>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</si>
  <si>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</si>
  <si>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</si>
  <si>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</si>
  <si>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</si>
  <si>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</si>
  <si>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</si>
  <si>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</si>
  <si>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</si>
  <si>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</si>
  <si>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</si>
  <si>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</si>
  <si>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</si>
  <si>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</si>
  <si>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</si>
  <si>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</si>
  <si>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</si>
  <si>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</si>
  <si>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</si>
  <si>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</si>
  <si>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</si>
  <si>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</si>
  <si>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</si>
  <si>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</si>
  <si>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</si>
  <si>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</si>
  <si>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</si>
  <si>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</si>
  <si>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</si>
  <si>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</si>
  <si>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</si>
  <si>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</si>
  <si>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</si>
  <si>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</si>
  <si>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</si>
  <si>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</si>
  <si>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</si>
  <si>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</si>
  <si>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</si>
  <si>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</si>
  <si>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</si>
  <si>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</si>
  <si>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</si>
  <si>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</si>
  <si>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</si>
  <si>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</si>
  <si>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</si>
  <si>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</si>
  <si>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</si>
  <si>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</si>
  <si>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</si>
  <si>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</si>
  <si>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</si>
  <si>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</si>
  <si>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</si>
  <si>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</si>
  <si>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</si>
  <si>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</si>
  <si>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</si>
  <si>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</si>
  <si>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</si>
  <si>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</si>
  <si>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</si>
  <si>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</si>
  <si>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</si>
  <si>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</si>
  <si>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</si>
  <si>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</si>
  <si>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</si>
  <si>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</si>
  <si>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</si>
  <si>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</si>
  <si>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</si>
  <si>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</si>
  <si>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</si>
  <si>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</si>
  <si>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</si>
  <si>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</si>
  <si>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</si>
  <si>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</si>
  <si>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</si>
  <si>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</si>
  <si>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</si>
  <si>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</si>
  <si>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</si>
  <si>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</si>
  <si>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</si>
  <si>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</si>
  <si>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</si>
  <si>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</si>
  <si>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</si>
  <si>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</si>
  <si>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</si>
  <si>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</si>
  <si>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</si>
  <si>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</si>
  <si>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</si>
  <si>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</si>
  <si>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</si>
  <si>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</si>
  <si>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</si>
  <si>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</si>
  <si>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</si>
  <si>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</si>
  <si>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</si>
  <si>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</si>
  <si>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</si>
  <si>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</si>
  <si>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</si>
  <si>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</si>
  <si>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</si>
  <si>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</si>
  <si>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</si>
  <si>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</si>
  <si>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</si>
  <si>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</si>
  <si>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</si>
  <si>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</si>
  <si>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</si>
  <si>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</si>
  <si>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</si>
  <si>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</si>
  <si>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</si>
  <si>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</si>
  <si>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</si>
  <si>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</si>
  <si>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</si>
  <si>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</si>
  <si>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</si>
  <si>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</si>
  <si>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</si>
  <si>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</si>
  <si>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</si>
  <si>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</si>
  <si>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</si>
  <si>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</si>
  <si>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</si>
  <si>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</si>
  <si>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</si>
  <si>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</si>
  <si>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</si>
  <si>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</si>
  <si>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</si>
  <si>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</si>
  <si>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</si>
  <si>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</si>
  <si>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</si>
  <si>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</si>
  <si>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</si>
  <si>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</si>
  <si>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</si>
  <si>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</si>
  <si>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</si>
  <si>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</si>
  <si>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</si>
  <si>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</si>
  <si>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</si>
  <si>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</si>
  <si>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</si>
  <si>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</si>
  <si>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</si>
  <si>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</si>
  <si>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</si>
  <si>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</si>
  <si>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</si>
  <si>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</si>
  <si>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</si>
  <si>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</si>
  <si>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</si>
  <si>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</si>
  <si>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</si>
  <si>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</si>
  <si>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</si>
  <si>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</si>
  <si>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</si>
  <si>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</si>
  <si>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</si>
  <si>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</si>
  <si>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</si>
  <si>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</si>
  <si>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</si>
  <si>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</si>
  <si>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</si>
  <si>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</si>
  <si>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</si>
  <si>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</si>
  <si>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</si>
  <si>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</si>
  <si>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</si>
  <si>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</si>
  <si>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</si>
  <si>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</si>
  <si>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</si>
  <si>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</si>
  <si>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</si>
  <si>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</si>
  <si>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</si>
  <si>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</si>
  <si>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</si>
  <si>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</si>
  <si>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</si>
  <si>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</si>
  <si>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</si>
  <si>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</si>
  <si>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</si>
  <si>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</si>
  <si>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</si>
  <si>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</si>
  <si>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</si>
  <si>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</si>
  <si>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</si>
  <si>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</si>
  <si>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</si>
  <si>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</si>
  <si>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</si>
  <si>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</si>
  <si>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</si>
  <si>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</si>
  <si>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</si>
  <si>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</si>
  <si>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</si>
  <si>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</si>
  <si>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</si>
  <si>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</si>
  <si>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</si>
  <si>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</si>
  <si>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</si>
  <si>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</si>
  <si>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</si>
  <si>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</si>
  <si>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</si>
  <si>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</si>
  <si>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</si>
  <si>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</si>
  <si>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</si>
  <si>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</si>
  <si>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</si>
  <si>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</si>
  <si>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</si>
  <si>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</si>
  <si>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</si>
  <si>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</si>
  <si>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</si>
  <si>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</si>
  <si>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</si>
  <si>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</si>
  <si>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</si>
  <si>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</si>
  <si>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</si>
  <si>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</si>
  <si>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</si>
  <si>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</si>
  <si>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</si>
  <si>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</si>
  <si>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</si>
  <si>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</si>
  <si>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</si>
  <si>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</si>
  <si>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</si>
  <si>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</si>
  <si>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</si>
  <si>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</si>
  <si>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</si>
  <si>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</si>
  <si>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</si>
  <si>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</si>
  <si>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</si>
  <si>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</si>
  <si>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</si>
  <si>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</si>
  <si>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</si>
  <si>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</si>
  <si>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</si>
  <si>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</si>
  <si>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</si>
  <si>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</si>
  <si>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</si>
  <si>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</si>
  <si>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</si>
  <si>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</si>
  <si>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</si>
  <si>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</si>
  <si>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</si>
  <si>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</si>
  <si>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</si>
  <si>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</si>
  <si>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</si>
  <si>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</si>
  <si>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</si>
  <si>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</si>
  <si>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</si>
  <si>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</si>
  <si>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</si>
  <si>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</si>
  <si>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</si>
  <si>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</si>
  <si>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</si>
  <si>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</si>
  <si>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</si>
  <si>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</si>
  <si>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</si>
  <si>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</si>
  <si>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</si>
  <si>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</si>
  <si>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</si>
  <si>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</si>
  <si>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</si>
  <si>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</si>
  <si>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</si>
  <si>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</si>
  <si>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</si>
  <si>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</si>
  <si>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</si>
  <si>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</si>
  <si>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</si>
  <si>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</si>
  <si>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</si>
  <si>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</si>
  <si>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</si>
  <si>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</si>
  <si>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</si>
  <si>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</si>
  <si>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</si>
  <si>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</si>
  <si>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</si>
  <si>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</si>
  <si>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</si>
  <si>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</si>
  <si>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</si>
  <si>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</si>
  <si>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</si>
  <si>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</si>
  <si>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</si>
  <si>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</si>
  <si>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</si>
  <si>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</si>
  <si>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</si>
  <si>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</si>
  <si>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</si>
  <si>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</si>
  <si>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</si>
  <si>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</si>
  <si>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</si>
  <si>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</si>
  <si>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</si>
  <si>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</si>
  <si>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</si>
  <si>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</si>
  <si>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</si>
  <si>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</si>
  <si>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</si>
  <si>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</si>
  <si>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</si>
  <si>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</si>
  <si>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</si>
  <si>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</si>
  <si>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</si>
  <si>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</si>
  <si>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</si>
  <si>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</si>
  <si>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</si>
  <si>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</si>
  <si>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</si>
  <si>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</si>
  <si>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</si>
  <si>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</si>
  <si>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</si>
  <si>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</si>
  <si>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</si>
  <si>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</si>
  <si>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</si>
  <si>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</si>
  <si>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</si>
  <si>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</si>
  <si>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</si>
  <si>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</si>
  <si>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</si>
  <si>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</si>
  <si>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</si>
  <si>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</si>
  <si>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</si>
  <si>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</si>
  <si>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</si>
  <si>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</si>
  <si>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</si>
  <si>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</si>
  <si>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</si>
  <si>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</si>
  <si>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</si>
  <si>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</si>
  <si>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</si>
  <si>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</si>
  <si>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</si>
  <si>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</si>
  <si>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</si>
  <si>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</si>
  <si>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</si>
  <si>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</si>
  <si>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</si>
  <si>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</si>
  <si>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</si>
  <si>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</si>
  <si>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</si>
  <si>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</si>
  <si>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</si>
  <si>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</si>
  <si>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</si>
  <si>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</si>
  <si>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</si>
  <si>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</si>
  <si>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</si>
  <si>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</si>
  <si>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</si>
  <si>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</si>
  <si>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</si>
  <si>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</si>
  <si>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</si>
  <si>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</si>
  <si>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</si>
  <si>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</si>
  <si>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</si>
  <si>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</si>
  <si>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</si>
  <si>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</si>
  <si>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</si>
  <si>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</si>
  <si>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</si>
  <si>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</si>
  <si>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</si>
  <si>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</si>
  <si>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</si>
  <si>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</si>
  <si>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</si>
  <si>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</si>
  <si>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</si>
  <si>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</si>
  <si>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</si>
  <si>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</si>
  <si>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</si>
  <si>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</si>
  <si>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</si>
  <si>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</si>
  <si>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</si>
  <si>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</si>
  <si>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</si>
  <si>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</si>
  <si>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</si>
  <si>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</si>
  <si>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</si>
  <si>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</si>
  <si>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</si>
  <si>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</si>
  <si>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</si>
  <si>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</si>
  <si>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</si>
  <si>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</si>
  <si>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</si>
  <si>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</si>
  <si>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</si>
  <si>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</si>
  <si>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</si>
  <si>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</si>
  <si>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</si>
  <si>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</si>
  <si>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</si>
  <si>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</si>
  <si>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</si>
  <si>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</si>
  <si>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</si>
  <si>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</si>
  <si>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</si>
  <si>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</si>
  <si>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</si>
  <si>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</si>
  <si>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</si>
  <si>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</si>
  <si>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</si>
  <si>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</si>
  <si>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</si>
  <si>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</si>
  <si>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</si>
  <si>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</si>
  <si>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</si>
  <si>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</si>
  <si>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</si>
  <si>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</si>
  <si>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</si>
  <si>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</si>
  <si>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</si>
  <si>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</si>
  <si>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</si>
  <si>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</si>
  <si>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</si>
  <si>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</si>
  <si>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</si>
  <si>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</si>
  <si>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</si>
  <si>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</si>
  <si>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</si>
  <si>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</si>
  <si>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</si>
  <si>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</si>
  <si>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</si>
  <si>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</si>
  <si>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</si>
  <si>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</si>
  <si>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</si>
  <si>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</si>
  <si>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</si>
  <si>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</si>
  <si>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</si>
  <si>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</si>
  <si>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</si>
  <si>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</si>
  <si>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</si>
  <si>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</si>
  <si>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</si>
  <si>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</si>
  <si>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</si>
  <si>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</si>
  <si>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</si>
  <si>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</si>
  <si>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</si>
  <si>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</si>
  <si>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</si>
  <si>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</si>
  <si>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</si>
  <si>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</si>
  <si>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</si>
  <si>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</si>
  <si>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</si>
  <si>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</si>
  <si>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</si>
  <si>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</si>
  <si>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</si>
  <si>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</si>
  <si>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</si>
  <si>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</si>
  <si>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</si>
  <si>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</si>
  <si>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</si>
  <si>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</si>
  <si>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</si>
  <si>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</si>
  <si>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</si>
  <si>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</si>
  <si>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</si>
  <si>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</si>
  <si>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</si>
  <si>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</si>
  <si>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</si>
  <si>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</si>
  <si>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</si>
  <si>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</si>
  <si>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</si>
  <si>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</si>
  <si>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</si>
  <si>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</si>
  <si>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</si>
  <si>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</si>
  <si>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</si>
  <si>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</si>
  <si>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</si>
  <si>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</si>
  <si>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</si>
  <si>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</si>
  <si>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</si>
  <si>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</si>
  <si>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</si>
  <si>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</si>
  <si>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</si>
  <si>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</si>
  <si>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</si>
  <si>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</si>
  <si>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</si>
  <si>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</si>
  <si>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</si>
  <si>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</si>
  <si>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</si>
  <si>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</si>
  <si>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</si>
  <si>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</si>
  <si>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</si>
  <si>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</si>
  <si>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</si>
  <si>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</si>
  <si>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</si>
  <si>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</si>
  <si>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</si>
  <si>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</si>
  <si>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</si>
  <si>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</si>
  <si>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</si>
  <si>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</si>
  <si>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</si>
  <si>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</si>
  <si>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</si>
  <si>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</si>
  <si>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</si>
  <si>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</si>
  <si>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</si>
  <si>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</si>
  <si>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</si>
  <si>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</si>
  <si>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</si>
  <si>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</si>
  <si>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</si>
  <si>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</si>
  <si>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</si>
  <si>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</si>
  <si>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</si>
  <si>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</si>
  <si>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</si>
  <si>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</si>
  <si>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</si>
  <si>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</si>
  <si>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</si>
  <si>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</si>
  <si>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</si>
  <si>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</si>
  <si>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</si>
  <si>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</si>
  <si>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</si>
  <si>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</si>
  <si>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</si>
  <si>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</si>
  <si>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</si>
  <si>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</si>
  <si>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</si>
  <si>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</si>
  <si>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</si>
  <si>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</si>
  <si>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</si>
  <si>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</si>
  <si>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</si>
  <si>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</si>
  <si>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</si>
  <si>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</si>
  <si>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</si>
  <si>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</si>
  <si>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</si>
  <si>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</si>
  <si>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</si>
  <si>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</si>
  <si>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</si>
  <si>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</si>
  <si>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</si>
  <si>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</si>
  <si>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</si>
  <si>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</si>
  <si>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</si>
  <si>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</si>
  <si>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</si>
  <si>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</si>
  <si>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</si>
  <si>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</si>
  <si>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</si>
  <si>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</si>
  <si>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</si>
  <si>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</si>
  <si>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</si>
  <si>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</si>
  <si>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</si>
  <si>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</si>
  <si>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</si>
  <si>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</si>
  <si>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</si>
  <si>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</si>
  <si>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</si>
  <si>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</si>
  <si>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</si>
  <si>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</si>
  <si>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</si>
  <si>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</si>
  <si>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</si>
  <si>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</si>
  <si>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</si>
  <si>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</si>
  <si>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</si>
  <si>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</si>
  <si>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</si>
  <si>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</si>
  <si>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</si>
  <si>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</si>
  <si>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</si>
  <si>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</si>
  <si>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</si>
  <si>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</si>
  <si>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</si>
  <si>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</si>
  <si>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</si>
  <si>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</si>
  <si>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</si>
  <si>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</si>
  <si>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</si>
  <si>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</si>
  <si>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</si>
  <si>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</si>
  <si>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</si>
  <si>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</si>
  <si>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</si>
  <si>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</si>
  <si>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</si>
  <si>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</si>
  <si>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</si>
  <si>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</si>
  <si>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</si>
  <si>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</si>
  <si>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</si>
  <si>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</si>
  <si>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</si>
  <si>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</si>
  <si>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</si>
  <si>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</si>
  <si>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</si>
  <si>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</si>
  <si>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</si>
  <si>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</si>
  <si>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</si>
  <si>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</si>
  <si>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</si>
  <si>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</si>
  <si>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</si>
  <si>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</si>
  <si>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</si>
  <si>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</si>
  <si>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</si>
  <si>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</si>
  <si>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</si>
  <si>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</si>
  <si>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</si>
  <si>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</si>
  <si>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</si>
  <si>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</si>
  <si>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</si>
  <si>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</si>
  <si>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</si>
  <si>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</si>
  <si>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</si>
  <si>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</si>
  <si>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</si>
  <si>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</si>
  <si>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</si>
  <si>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</si>
  <si>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</si>
  <si>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</si>
  <si>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</si>
  <si>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</si>
  <si>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</si>
  <si>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</si>
  <si>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</si>
  <si>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</si>
  <si>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</si>
  <si>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</si>
  <si>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</si>
  <si>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</si>
  <si>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</si>
  <si>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</si>
  <si>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</si>
  <si>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</si>
  <si>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</si>
  <si>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</si>
  <si>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</si>
  <si>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</si>
  <si>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</si>
  <si>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</si>
  <si>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</si>
  <si>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</si>
  <si>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</si>
  <si>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</si>
  <si>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</si>
  <si>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</si>
  <si>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</si>
  <si>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</si>
  <si>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</si>
  <si>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</si>
  <si>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</si>
  <si>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</si>
  <si>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</si>
  <si>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</si>
  <si>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</si>
  <si>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</si>
  <si>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</si>
  <si>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</si>
  <si>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</si>
  <si>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</si>
  <si>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</si>
  <si>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</si>
  <si>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</si>
  <si>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</si>
  <si>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</si>
  <si>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</si>
  <si>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</si>
  <si>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</si>
  <si>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</si>
  <si>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</si>
  <si>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</si>
  <si>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</si>
  <si>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</si>
  <si>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</si>
  <si>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</si>
  <si>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</si>
  <si>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</si>
  <si>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</si>
  <si>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</si>
  <si>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</si>
  <si>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</si>
  <si>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</si>
  <si>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</si>
  <si>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</si>
  <si>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</si>
  <si>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</si>
  <si>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</si>
  <si>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</si>
  <si>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</si>
  <si>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</si>
  <si>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</si>
  <si>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</si>
  <si>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</si>
  <si>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</si>
  <si>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</si>
  <si>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</si>
  <si>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</si>
  <si>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</si>
  <si>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</si>
  <si>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</si>
  <si>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</si>
  <si>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</si>
  <si>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</si>
  <si>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</si>
  <si>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</si>
  <si>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</si>
  <si>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</si>
  <si>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</si>
  <si>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</si>
  <si>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</si>
  <si>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</si>
  <si>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</si>
  <si>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</si>
  <si>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</si>
  <si>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</si>
  <si>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</si>
  <si>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</si>
  <si>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</si>
  <si>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</si>
  <si>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</si>
  <si>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</si>
  <si>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</si>
  <si>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</si>
  <si>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</si>
  <si>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</si>
  <si>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</si>
  <si>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</si>
  <si>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</si>
  <si>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</si>
  <si>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</si>
  <si>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</si>
  <si>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</si>
  <si>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</si>
  <si>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</si>
  <si>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</si>
  <si>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</si>
  <si>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</si>
  <si>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</si>
  <si>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</si>
  <si>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</si>
  <si>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</si>
  <si>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</si>
  <si>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</si>
  <si>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</si>
  <si>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</si>
  <si>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</si>
  <si>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</si>
  <si>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</si>
  <si>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</si>
  <si>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</si>
  <si>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</si>
  <si>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</si>
  <si>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</si>
  <si>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</si>
  <si>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</si>
  <si>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</si>
  <si>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</si>
  <si>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</si>
  <si>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</si>
  <si>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</si>
  <si>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</si>
  <si>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</si>
  <si>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</si>
  <si>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</si>
  <si>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</si>
  <si>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</si>
  <si>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</si>
  <si>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</si>
  <si>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</si>
  <si>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</si>
  <si>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</si>
  <si>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</si>
  <si>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</si>
  <si>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</si>
  <si>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</si>
  <si>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</si>
  <si>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</si>
  <si>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</si>
  <si>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</si>
  <si>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</si>
  <si>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</si>
  <si>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</si>
  <si>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</si>
  <si>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</si>
  <si>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</si>
  <si>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</si>
  <si>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</si>
  <si>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</si>
  <si>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</si>
  <si>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</si>
  <si>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</si>
  <si>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</si>
  <si>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</si>
  <si>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</si>
  <si>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</si>
  <si>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</si>
  <si>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</si>
  <si>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</si>
  <si>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</si>
  <si>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</si>
  <si>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</si>
  <si>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</si>
  <si>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</si>
  <si>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</si>
  <si>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</si>
  <si>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</si>
  <si>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</si>
  <si>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</si>
  <si>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Franklin-Jefferson</t>
  </si>
  <si>
    <t>409 E Park</t>
  </si>
  <si>
    <t>Benton</t>
  </si>
  <si>
    <t>Emling &amp; Hoffman, PC</t>
  </si>
  <si>
    <t>Donald L Hoffman</t>
  </si>
  <si>
    <t>1191 West Saint Louis Street</t>
  </si>
  <si>
    <t>Nashville</t>
  </si>
  <si>
    <t>IL</t>
  </si>
  <si>
    <t>618-327-4375</t>
  </si>
  <si>
    <t>618-327-4376</t>
  </si>
  <si>
    <t>060-004252</t>
  </si>
  <si>
    <t>donhoffman@emlingcpa.com</t>
  </si>
  <si>
    <t>Ron Daniels</t>
  </si>
  <si>
    <t>See Findings 2019-001 and 2019-002.</t>
  </si>
  <si>
    <t>DEPARTMENT OF EDUCATION</t>
  </si>
  <si>
    <t xml:space="preserve">  FLOW THROUGH  IL STATE BOARD OF EDUCATION:</t>
  </si>
  <si>
    <t xml:space="preserve">        I.D.E.A.   Flow Through - FY 18 (M)</t>
  </si>
  <si>
    <t xml:space="preserve">        I.D.E.A.   Flow Through - FY 19 (M)</t>
  </si>
  <si>
    <t>84.027A</t>
  </si>
  <si>
    <t>18-4620</t>
  </si>
  <si>
    <t>19-4620</t>
  </si>
  <si>
    <t>TOTAL FY 18 PROJECT</t>
  </si>
  <si>
    <t>84.173A</t>
  </si>
  <si>
    <t>18-4600</t>
  </si>
  <si>
    <t>19-4600</t>
  </si>
  <si>
    <t>DEPARTMENT OF AGRICULTURE</t>
  </si>
  <si>
    <t>TOTAL FY 19 PROJECT</t>
  </si>
  <si>
    <t xml:space="preserve">              NATIONAL LUNCH</t>
  </si>
  <si>
    <t xml:space="preserve">                          FY 18</t>
  </si>
  <si>
    <t xml:space="preserve">                          FY 19</t>
  </si>
  <si>
    <t>18-4210</t>
  </si>
  <si>
    <t>Page 9, Line 107- Miscellaneous</t>
  </si>
  <si>
    <t>19-4210</t>
  </si>
  <si>
    <t xml:space="preserve">              NATIONAL SCHOOL BREAKFAST</t>
  </si>
  <si>
    <t>18-4220</t>
  </si>
  <si>
    <t>19-4220</t>
  </si>
  <si>
    <t>TOTAL DEPARTMENT OF AGRICULTURE</t>
  </si>
  <si>
    <t>DEPARTMENT OF HEALTH AND HUMAN SERVICES:</t>
  </si>
  <si>
    <t xml:space="preserve">  FLOW THROUGH IL DEPT OF HEALTHCARE AND FAMILY SERVICES</t>
  </si>
  <si>
    <t xml:space="preserve">    MEDICAID ADMIN OUTREACH</t>
  </si>
  <si>
    <t xml:space="preserve">                FY 18</t>
  </si>
  <si>
    <t xml:space="preserve">                FY 19</t>
  </si>
  <si>
    <t>18-4991</t>
  </si>
  <si>
    <t>19-4991</t>
  </si>
  <si>
    <t>TOTAL DEPT HEALTH AND HUMAN SERVICES</t>
  </si>
  <si>
    <t>TOTAL FEDERAL AWARDS</t>
  </si>
  <si>
    <t>The accompanying Schedule of Expenditures of Federal Awards includes the federal grant activity of Franklin-Jefferson Speical Ed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</si>
  <si>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Franklin-Jefferson Special Ed Distrct provided federal awards to subrecipients as follows:</t>
  </si>
  <si>
    <r>
      <t xml:space="preserve">The following amounts were expended in the form of non-cash assistance by Franklin-Jefferson Special Ed District and </t>
    </r>
    <r>
      <rPr>
        <b/>
        <sz val="9"/>
        <rFont val="Calibri"/>
        <family val="2"/>
        <scheme val="minor"/>
      </rPr>
      <t>should be</t>
    </r>
    <r>
      <rPr>
        <sz val="9"/>
        <rFont val="Calibri"/>
        <family val="2"/>
        <scheme val="minor"/>
      </rPr>
      <t xml:space="preserve"> included in the Schedule of Expenditures of Federal Awards:</t>
    </r>
  </si>
  <si>
    <t>10-2570-300</t>
  </si>
  <si>
    <t>Xerox Corporation</t>
  </si>
  <si>
    <t>ED-Therapy-Purchased Services</t>
  </si>
  <si>
    <t>ED-Internal Services-Purchased Services</t>
  </si>
  <si>
    <t>UCP Infinetec</t>
  </si>
  <si>
    <t>10-2100-300</t>
  </si>
  <si>
    <t>ED-Board Services Purchased Services</t>
  </si>
  <si>
    <t>Illnois School District Agency</t>
  </si>
  <si>
    <t>10-2300-300</t>
  </si>
  <si>
    <t>ED-Instruction-Purchased Services</t>
  </si>
  <si>
    <t>Mt. Vernon City Schools #80</t>
  </si>
  <si>
    <t>10-1000-300</t>
  </si>
  <si>
    <t>Summersville Grade School #79</t>
  </si>
  <si>
    <t>ED-Administration-Purchased Services</t>
  </si>
  <si>
    <t>Brecht's Database</t>
  </si>
  <si>
    <t>Clearwave</t>
  </si>
  <si>
    <t>Workers' Compensation Self Ins</t>
  </si>
  <si>
    <t>ED-Speech Therapy-Purchased Services</t>
  </si>
  <si>
    <t>Mt Vernon City Schools #80, Summersville GSD #79</t>
  </si>
  <si>
    <t>Regional Office of Education #25</t>
  </si>
  <si>
    <t>Williamson County Sp Ed, Tri-County Special Ed, Mt Vernon City Schools #80</t>
  </si>
  <si>
    <t>Detailed property records are not presently maintained; consequently, we cannot express an opinion on the General Fixed Assets Account Group.</t>
  </si>
  <si>
    <t>618-439-7231</t>
  </si>
  <si>
    <t>618-438-2210</t>
  </si>
  <si>
    <t>618-438-9711</t>
  </si>
  <si>
    <t>618-435-2861</t>
  </si>
  <si>
    <t>TOTAL DEPARTMENT OF EDUCATION</t>
  </si>
  <si>
    <t>Rounding</t>
  </si>
  <si>
    <t>NA</t>
  </si>
  <si>
    <t>2018-001</t>
  </si>
  <si>
    <t>2018-002</t>
  </si>
  <si>
    <t>Management oversight of financial statements.</t>
  </si>
  <si>
    <t>Segregation of Duties</t>
  </si>
  <si>
    <t>Not implemented due to Financial Restraints</t>
  </si>
  <si>
    <t>Segregation of duties.</t>
  </si>
  <si>
    <t>There is limited segregation of duties over cash receipts and disbursements, receiving and purchasing, recording of transactions and reconciliation of the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</si>
  <si>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</si>
  <si>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</si>
  <si>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</si>
  <si>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</si>
  <si>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and assignment of duties will be reviewed by the School District.</t>
  </si>
  <si>
    <t>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basic financial statements.</t>
  </si>
  <si>
    <t>Personnel of the School District do not currently possess the skills necessary to draft basic financial statements and footnotes in accordance with the cash basis of accounting, which is a basis of accounting other than accounting principles generally accepted in the United States of America.</t>
  </si>
  <si>
    <t>The School District does not possess the ability to draft their basic financial statements or footnotes.</t>
  </si>
  <si>
    <t>The School District's management may not be able to detect errors or omissions in the application of the cash basis of accounting with respect to the School District's basic financial statements and footnotes.</t>
  </si>
  <si>
    <t>Lack of formal training.</t>
  </si>
  <si>
    <t>The School District should review the additional costs it would incur to prepare the basic financial statements internally with corresponding reduction of risk associated with material misstatement of the School District's basic financial statements.</t>
  </si>
  <si>
    <t>Management agrees with the finding.  However, the Illinois State Board of Education requires the School District auditor to; prepare the Annual Financial Report.</t>
  </si>
  <si>
    <t>Unmodified</t>
  </si>
  <si>
    <t>84.173A/84.027A</t>
  </si>
  <si>
    <t>US Department of Education/Special Education Cluster</t>
  </si>
  <si>
    <t>Preschool   Flow Through - FY 18 (M)</t>
  </si>
  <si>
    <t>Preschool   Flow Through - FY 19 (M)</t>
  </si>
  <si>
    <t>Note 3:  Subrecipients - Concluded</t>
  </si>
  <si>
    <t>I.D.E.A. Flow Through:</t>
  </si>
  <si>
    <t xml:space="preserve">     Summersville Grade School #79</t>
  </si>
  <si>
    <t xml:space="preserve">     McClellan Grade School #12</t>
  </si>
  <si>
    <t xml:space="preserve">     Thompsonville CUSD #174</t>
  </si>
  <si>
    <t xml:space="preserve">     Benton Grade School #47</t>
  </si>
  <si>
    <t xml:space="preserve">     Benton High School #103</t>
  </si>
  <si>
    <t xml:space="preserve">     Sesser CUSD #196</t>
  </si>
  <si>
    <t xml:space="preserve">     Mt. Vernon City Schools #80</t>
  </si>
  <si>
    <t xml:space="preserve">     Mt. Vernon Township HS  #201</t>
  </si>
  <si>
    <t xml:space="preserve">     Christopher CUSD #99</t>
  </si>
  <si>
    <t xml:space="preserve">     Ewing #115</t>
  </si>
  <si>
    <t xml:space="preserve">     Farrington  #99</t>
  </si>
  <si>
    <t xml:space="preserve">     Field  #3</t>
  </si>
  <si>
    <t xml:space="preserve">     Spring Garden  #178</t>
  </si>
  <si>
    <t xml:space="preserve">     Zeigler  #188</t>
  </si>
  <si>
    <t xml:space="preserve">     Bethel  #82</t>
  </si>
  <si>
    <t xml:space="preserve">     Bluford  #318</t>
  </si>
  <si>
    <t xml:space="preserve">     Waltonville  #1</t>
  </si>
  <si>
    <t xml:space="preserve">     Akin  #91</t>
  </si>
  <si>
    <t xml:space="preserve">     Rome  #2</t>
  </si>
  <si>
    <t>Jera Pieper</t>
  </si>
  <si>
    <t>rdaniels@roe13.org</t>
  </si>
  <si>
    <t>Franklin Jefferson Co Sp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</si>
</sst>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0" xfId="3" applyFont="1" applyAlignment="1" applyProtection="1">
      <alignment horizontal="center" vertical="center"/>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5" fontId="54" fillId="0" borderId="0" xfId="3" applyNumberFormat="1" applyFont="1" applyBorder="1" applyAlignment="1" applyProtection="1">
      <protection locked="0"/>
    </xf>
    <xf numFmtId="5" fontId="54" fillId="0" borderId="0" xfId="3" applyNumberFormat="1" applyFont="1" applyBorder="1" applyAlignment="1" applyProtection="1">
      <alignment horizontal="center"/>
      <protection locked="0"/>
    </xf>
    <xf numFmtId="6" fontId="54" fillId="0" borderId="0"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5" fontId="64" fillId="0" borderId="0" xfId="3" applyNumberFormat="1" applyFont="1" applyBorder="1" applyAlignment="1" applyProtection="1">
      <protection locked="0"/>
    </xf>
    <xf numFmtId="0" fontId="64" fillId="0" borderId="0" xfId="3" applyFont="1" applyBorder="1" applyAlignment="1" applyProtection="1">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xdr:colOff>
          <xdr:row>1</xdr:row>
          <xdr:rowOff>25977</xdr:rowOff>
        </xdr:from>
        <xdr:to>
          <xdr:col>1</xdr:col>
          <xdr:colOff>931718</xdr:colOff>
          <xdr:row>5</xdr:row>
          <xdr:rowOff>64077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1041689</xdr:colOff>
          <xdr:row>1</xdr:row>
          <xdr:rowOff>36368</xdr:rowOff>
        </xdr:from>
        <xdr:to>
          <xdr:col>1</xdr:col>
          <xdr:colOff>1956089</xdr:colOff>
          <xdr:row>5</xdr:row>
          <xdr:rowOff>74468</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1</xdr:row>
          <xdr:rowOff>53686</xdr:rowOff>
        </xdr:from>
        <xdr:to>
          <xdr:col>1</xdr:col>
          <xdr:colOff>2981325</xdr:colOff>
          <xdr:row>5</xdr:row>
          <xdr:rowOff>91786</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36369</xdr:colOff>
          <xdr:row>6</xdr:row>
          <xdr:rowOff>1</xdr:rowOff>
        </xdr:from>
        <xdr:to>
          <xdr:col>1</xdr:col>
          <xdr:colOff>950769</xdr:colOff>
          <xdr:row>10</xdr:row>
          <xdr:rowOff>38101</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xdr:row>
          <xdr:rowOff>10391</xdr:rowOff>
        </xdr:from>
        <xdr:to>
          <xdr:col>1</xdr:col>
          <xdr:colOff>1971675</xdr:colOff>
          <xdr:row>10</xdr:row>
          <xdr:rowOff>48491</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3" t="s">
        <v>405</v>
      </c>
      <c r="J1" s="1994"/>
      <c r="K1" s="1994"/>
      <c r="L1" s="1994"/>
      <c r="M1" s="1994"/>
      <c r="N1" s="1994"/>
      <c r="O1" s="1994"/>
      <c r="P1" s="1994"/>
      <c r="Q1" s="1994"/>
      <c r="R1" s="1994"/>
      <c r="S1" s="1994"/>
    </row>
    <row r="2" spans="1:28" ht="12" customHeight="1" x14ac:dyDescent="0.2">
      <c r="A2" s="47" t="s">
        <v>1987</v>
      </c>
      <c r="D2" s="48"/>
      <c r="I2" s="1995" t="s">
        <v>979</v>
      </c>
      <c r="J2" s="1994"/>
      <c r="K2" s="1994"/>
      <c r="L2" s="1994"/>
      <c r="M2" s="1994"/>
      <c r="N2" s="1994"/>
      <c r="O2" s="1994"/>
      <c r="P2" s="1994"/>
      <c r="Q2" s="1994"/>
      <c r="R2" s="1994"/>
      <c r="S2" s="1994"/>
    </row>
    <row r="3" spans="1:28" ht="12" customHeight="1" x14ac:dyDescent="0.2">
      <c r="A3" s="155" t="s">
        <v>1939</v>
      </c>
      <c r="B3" s="156"/>
      <c r="C3" s="156"/>
      <c r="D3" s="157"/>
      <c r="I3" s="1995" t="s">
        <v>52</v>
      </c>
      <c r="J3" s="1994"/>
      <c r="K3" s="1994"/>
      <c r="L3" s="1994"/>
      <c r="M3" s="1994"/>
      <c r="N3" s="1994"/>
      <c r="O3" s="1994"/>
      <c r="P3" s="1994"/>
      <c r="Q3" s="1994"/>
      <c r="R3" s="1994"/>
      <c r="S3" s="1994"/>
    </row>
    <row r="4" spans="1:28" ht="12" customHeight="1" x14ac:dyDescent="0.2">
      <c r="A4" s="37"/>
      <c r="I4" s="1995" t="s">
        <v>524</v>
      </c>
      <c r="J4" s="1994"/>
      <c r="K4" s="1994"/>
      <c r="L4" s="1994"/>
      <c r="M4" s="1994"/>
      <c r="N4" s="1994"/>
      <c r="O4" s="1994"/>
      <c r="P4" s="1994"/>
      <c r="Q4" s="1994"/>
      <c r="R4" s="1994"/>
      <c r="S4" s="1994"/>
    </row>
    <row r="5" spans="1:28" ht="14.1" customHeight="1" x14ac:dyDescent="0.2">
      <c r="B5" s="104"/>
      <c r="C5" s="26" t="s">
        <v>910</v>
      </c>
      <c r="D5" s="84"/>
      <c r="E5" s="84"/>
      <c r="H5" s="38"/>
      <c r="I5" s="2003" t="s">
        <v>680</v>
      </c>
      <c r="J5" s="2002"/>
      <c r="K5" s="2002"/>
      <c r="L5" s="2002"/>
      <c r="M5" s="2002"/>
      <c r="N5" s="2002"/>
      <c r="O5" s="2002"/>
      <c r="P5" s="2002"/>
      <c r="Q5" s="2002"/>
      <c r="R5" s="2002"/>
      <c r="S5" s="2002"/>
    </row>
    <row r="6" spans="1:28" ht="14.1" customHeight="1" x14ac:dyDescent="0.2">
      <c r="B6" s="104" t="s">
        <v>2061</v>
      </c>
      <c r="C6" s="26" t="s">
        <v>911</v>
      </c>
      <c r="D6" s="84"/>
      <c r="E6" s="84"/>
      <c r="I6" s="2001" t="s">
        <v>883</v>
      </c>
      <c r="J6" s="2002"/>
      <c r="K6" s="2002"/>
      <c r="L6" s="2002"/>
      <c r="M6" s="2002"/>
      <c r="N6" s="2002"/>
      <c r="O6" s="2002"/>
      <c r="P6" s="2002"/>
      <c r="Q6" s="2002"/>
      <c r="R6" s="2002"/>
      <c r="S6" s="2002"/>
    </row>
    <row r="7" spans="1:28" ht="12.2" customHeight="1" x14ac:dyDescent="0.2">
      <c r="I7" s="1996">
        <v>43646</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674</v>
      </c>
      <c r="J9" s="1999"/>
      <c r="K9" s="1999"/>
      <c r="L9" s="1999"/>
      <c r="M9" s="1999"/>
      <c r="N9" s="1999"/>
      <c r="O9" s="1999"/>
      <c r="P9" s="1999"/>
      <c r="Q9" s="1999"/>
      <c r="R9" s="1999"/>
      <c r="S9" s="2000"/>
      <c r="T9" s="2014" t="s">
        <v>533</v>
      </c>
      <c r="U9" s="2015"/>
      <c r="V9" s="2015"/>
      <c r="W9" s="2015"/>
      <c r="X9" s="2015"/>
      <c r="Y9" s="2015"/>
      <c r="Z9" s="2015"/>
      <c r="AA9" s="2016"/>
    </row>
    <row r="10" spans="1:28" ht="13.5" customHeight="1" x14ac:dyDescent="0.2">
      <c r="A10" s="2021" t="s">
        <v>675</v>
      </c>
      <c r="B10" s="2022"/>
      <c r="C10" s="2022"/>
      <c r="D10" s="2022"/>
      <c r="E10" s="2022"/>
      <c r="F10" s="2022"/>
      <c r="G10" s="2022"/>
      <c r="H10" s="2023"/>
      <c r="I10" s="29"/>
      <c r="J10" s="30"/>
      <c r="K10" s="28"/>
      <c r="R10" s="30"/>
      <c r="S10" s="30"/>
      <c r="T10" s="2017"/>
      <c r="U10" s="2002"/>
      <c r="V10" s="2002"/>
      <c r="W10" s="2002"/>
      <c r="X10" s="2002"/>
      <c r="Y10" s="2002"/>
      <c r="Z10" s="2002"/>
      <c r="AA10" s="2008"/>
    </row>
    <row r="11" spans="1:28" ht="14.25" customHeight="1" x14ac:dyDescent="0.2">
      <c r="A11" s="2024" t="s">
        <v>955</v>
      </c>
      <c r="B11" s="2025"/>
      <c r="C11" s="2025"/>
      <c r="D11" s="2025"/>
      <c r="E11" s="2025"/>
      <c r="F11" s="2025"/>
      <c r="G11" s="2025"/>
      <c r="H11" s="2026"/>
      <c r="I11" s="27"/>
      <c r="J11" s="74"/>
      <c r="K11" s="27"/>
      <c r="O11" s="148" t="s">
        <v>2061</v>
      </c>
      <c r="P11" s="100" t="s">
        <v>201</v>
      </c>
      <c r="Q11" s="30"/>
      <c r="R11" s="28"/>
      <c r="S11" s="27"/>
      <c r="T11" s="2018"/>
      <c r="U11" s="2019"/>
      <c r="V11" s="2019"/>
      <c r="W11" s="2019"/>
      <c r="X11" s="2019"/>
      <c r="Y11" s="2019"/>
      <c r="Z11" s="2019"/>
      <c r="AA11" s="202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8">
        <v>13041801060</v>
      </c>
      <c r="B13" s="2029"/>
      <c r="C13" s="2029"/>
      <c r="D13" s="2029"/>
      <c r="E13" s="2029"/>
      <c r="F13" s="2029"/>
      <c r="G13" s="2029"/>
      <c r="H13" s="2030"/>
      <c r="I13" s="31"/>
      <c r="J13" s="30"/>
      <c r="K13" s="28"/>
      <c r="L13" s="30"/>
      <c r="M13" s="30"/>
      <c r="N13" s="30"/>
      <c r="O13" s="30"/>
      <c r="P13" s="30"/>
      <c r="Q13" s="30"/>
      <c r="R13" s="30"/>
      <c r="S13" s="30"/>
      <c r="T13" s="2033" t="s">
        <v>2065</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7" t="s">
        <v>2062</v>
      </c>
      <c r="B15" s="2031"/>
      <c r="C15" s="2031"/>
      <c r="D15" s="2031"/>
      <c r="E15" s="2031"/>
      <c r="F15" s="2031"/>
      <c r="G15" s="2031"/>
      <c r="H15" s="2032"/>
      <c r="T15" s="2037" t="s">
        <v>2066</v>
      </c>
      <c r="U15" s="1981"/>
      <c r="V15" s="1981"/>
      <c r="W15" s="1981"/>
      <c r="X15" s="1981"/>
      <c r="Y15" s="2038"/>
      <c r="Z15" s="2038"/>
      <c r="AA15" s="203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7" t="s">
        <v>2187</v>
      </c>
      <c r="B17" s="1988"/>
      <c r="C17" s="1988"/>
      <c r="D17" s="1988"/>
      <c r="E17" s="1988"/>
      <c r="F17" s="1988"/>
      <c r="G17" s="1988"/>
      <c r="H17" s="2013"/>
      <c r="T17" s="2044" t="s">
        <v>2067</v>
      </c>
      <c r="U17" s="2045"/>
      <c r="V17" s="2045"/>
      <c r="W17" s="2045"/>
      <c r="X17" s="2045"/>
      <c r="Y17" s="2045"/>
      <c r="Z17" s="2045"/>
      <c r="AA17" s="2046"/>
    </row>
    <row r="18" spans="1:27" ht="13.5" customHeight="1" x14ac:dyDescent="0.2">
      <c r="A18" s="85" t="s">
        <v>530</v>
      </c>
      <c r="B18" s="76"/>
      <c r="C18" s="72"/>
      <c r="D18" s="76"/>
      <c r="E18" s="76"/>
      <c r="F18" s="76"/>
      <c r="G18" s="76"/>
      <c r="H18" s="56"/>
      <c r="I18" s="2012" t="s">
        <v>676</v>
      </c>
      <c r="J18" s="1963"/>
      <c r="K18" s="1963"/>
      <c r="L18" s="1963"/>
      <c r="M18" s="1963"/>
      <c r="N18" s="1963"/>
      <c r="O18" s="1963"/>
      <c r="P18" s="1963"/>
      <c r="Q18" s="1963"/>
      <c r="R18" s="1963"/>
      <c r="S18" s="1964"/>
      <c r="T18" s="85" t="s">
        <v>711</v>
      </c>
      <c r="U18" s="51"/>
      <c r="V18" s="72"/>
      <c r="W18" s="50"/>
      <c r="X18" s="85" t="s">
        <v>266</v>
      </c>
      <c r="Y18" s="81"/>
      <c r="Z18" s="159" t="s">
        <v>677</v>
      </c>
      <c r="AA18" s="46"/>
    </row>
    <row r="19" spans="1:27" ht="13.5" customHeight="1" x14ac:dyDescent="0.2">
      <c r="A19" s="2027" t="s">
        <v>2063</v>
      </c>
      <c r="B19" s="1973"/>
      <c r="C19" s="1973"/>
      <c r="D19" s="1973"/>
      <c r="E19" s="1973"/>
      <c r="F19" s="1973"/>
      <c r="G19" s="1973"/>
      <c r="H19" s="1953"/>
      <c r="I19" s="30"/>
      <c r="J19" s="99"/>
      <c r="K19" s="40"/>
      <c r="L19" s="38"/>
      <c r="M19" s="112" t="s">
        <v>315</v>
      </c>
      <c r="P19" s="27"/>
      <c r="Q19" s="27"/>
      <c r="R19" s="27"/>
      <c r="S19" s="31"/>
      <c r="T19" s="2027" t="s">
        <v>2068</v>
      </c>
      <c r="U19" s="1952"/>
      <c r="V19" s="1952"/>
      <c r="W19" s="1953"/>
      <c r="X19" s="2042" t="s">
        <v>2069</v>
      </c>
      <c r="Y19" s="2043"/>
      <c r="Z19" s="2040">
        <v>62263</v>
      </c>
      <c r="AA19" s="204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1" t="s">
        <v>2064</v>
      </c>
      <c r="B21" s="1952"/>
      <c r="C21" s="1952"/>
      <c r="D21" s="1952"/>
      <c r="E21" s="1952"/>
      <c r="F21" s="1952"/>
      <c r="G21" s="1952"/>
      <c r="H21" s="1953"/>
      <c r="I21" s="2007" t="s">
        <v>678</v>
      </c>
      <c r="J21" s="2002"/>
      <c r="K21" s="2002"/>
      <c r="L21" s="2002"/>
      <c r="M21" s="2002"/>
      <c r="N21" s="2002"/>
      <c r="O21" s="2002"/>
      <c r="P21" s="2002"/>
      <c r="Q21" s="2002"/>
      <c r="R21" s="2002"/>
      <c r="S21" s="2008"/>
      <c r="T21" s="2051" t="s">
        <v>2070</v>
      </c>
      <c r="U21" s="2052"/>
      <c r="V21" s="2052"/>
      <c r="W21" s="2052"/>
      <c r="X21" s="2057" t="s">
        <v>2071</v>
      </c>
      <c r="Y21" s="2058"/>
      <c r="Z21" s="2058"/>
      <c r="AA21" s="2059"/>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4"/>
      <c r="B23" s="2005"/>
      <c r="C23" s="2005"/>
      <c r="D23" s="2005"/>
      <c r="E23" s="2005"/>
      <c r="F23" s="2005"/>
      <c r="G23" s="2005"/>
      <c r="H23" s="2006"/>
      <c r="T23" s="1987" t="s">
        <v>2072</v>
      </c>
      <c r="U23" s="2050"/>
      <c r="V23" s="2050"/>
      <c r="W23" s="2050"/>
      <c r="X23" s="2054">
        <v>43831</v>
      </c>
      <c r="Y23" s="2055"/>
      <c r="Z23" s="2055"/>
      <c r="AA23" s="2056"/>
    </row>
    <row r="24" spans="1:27" ht="14.1" customHeight="1" x14ac:dyDescent="0.2">
      <c r="A24" s="88" t="s">
        <v>677</v>
      </c>
      <c r="B24" s="49"/>
      <c r="C24" s="49"/>
      <c r="D24" s="49"/>
      <c r="E24" s="49"/>
      <c r="F24" s="49"/>
      <c r="G24" s="49"/>
      <c r="H24" s="61"/>
      <c r="J24" s="1974" t="str">
        <f>IF(B5="x",IF(AUDITCHECK!D29="AFR form Incomplete.","",IF(AUDITCHECK!D29="Deficit reduction plan is required.","School District must complete a deficit reduction plan in the 2019-2020 Budget",)),"")</f>
        <v/>
      </c>
      <c r="K24" s="1974"/>
      <c r="L24" s="1974"/>
      <c r="M24" s="1974"/>
      <c r="N24" s="1974"/>
      <c r="O24" s="1974"/>
      <c r="P24" s="1974"/>
      <c r="Q24" s="1974"/>
      <c r="R24" s="1974"/>
      <c r="S24" s="1975"/>
      <c r="T24" s="105" t="s">
        <v>531</v>
      </c>
      <c r="U24" s="106"/>
      <c r="V24" s="106"/>
      <c r="W24" s="106"/>
      <c r="X24" s="107"/>
      <c r="Y24" s="107"/>
      <c r="Z24" s="107"/>
      <c r="AA24" s="108"/>
    </row>
    <row r="25" spans="1:27" ht="14.1" customHeight="1" x14ac:dyDescent="0.2">
      <c r="A25" s="1951">
        <v>62812</v>
      </c>
      <c r="B25" s="1952"/>
      <c r="C25" s="1952"/>
      <c r="D25" s="1952"/>
      <c r="E25" s="1952"/>
      <c r="F25" s="1952"/>
      <c r="G25" s="1952"/>
      <c r="H25" s="1953"/>
      <c r="I25" s="113"/>
      <c r="J25" s="1976"/>
      <c r="K25" s="1976"/>
      <c r="L25" s="1976"/>
      <c r="M25" s="1976"/>
      <c r="N25" s="1976"/>
      <c r="O25" s="1976"/>
      <c r="P25" s="1976"/>
      <c r="Q25" s="1976"/>
      <c r="R25" s="1976"/>
      <c r="S25" s="1977"/>
      <c r="T25" s="2047" t="s">
        <v>2073</v>
      </c>
      <c r="U25" s="2048"/>
      <c r="V25" s="2048"/>
      <c r="W25" s="2048"/>
      <c r="X25" s="2048"/>
      <c r="Y25" s="2048"/>
      <c r="Z25" s="2048"/>
      <c r="AA25" s="20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2" t="s">
        <v>1511</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48" t="s">
        <v>2061</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3"/>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7" t="s">
        <v>2185</v>
      </c>
      <c r="B38" s="1988"/>
      <c r="C38" s="1988"/>
      <c r="D38" s="1988"/>
      <c r="E38" s="1988"/>
      <c r="F38" s="1952"/>
      <c r="G38" s="1952"/>
      <c r="H38" s="1953"/>
      <c r="I38" s="1980"/>
      <c r="J38" s="1981"/>
      <c r="K38" s="1981"/>
      <c r="L38" s="1981"/>
      <c r="M38" s="1981"/>
      <c r="N38" s="1981"/>
      <c r="O38" s="1981"/>
      <c r="P38" s="1982"/>
      <c r="Q38" s="1982"/>
      <c r="R38" s="1982"/>
      <c r="S38" s="1983"/>
      <c r="T38" s="2037" t="s">
        <v>2074</v>
      </c>
      <c r="U38" s="1981"/>
      <c r="V38" s="1981"/>
      <c r="W38" s="1981"/>
      <c r="X38" s="1982"/>
      <c r="Y38" s="1982"/>
      <c r="Z38" s="1982"/>
      <c r="AA38" s="1983"/>
    </row>
    <row r="39" spans="1:27" ht="12" customHeight="1" x14ac:dyDescent="0.2">
      <c r="A39" s="1957" t="s">
        <v>531</v>
      </c>
      <c r="B39" s="1958"/>
      <c r="C39" s="72"/>
      <c r="D39" s="69"/>
      <c r="E39" s="69"/>
      <c r="F39" s="79"/>
      <c r="G39" s="69"/>
      <c r="H39" s="56"/>
      <c r="I39" s="1957" t="s">
        <v>531</v>
      </c>
      <c r="J39" s="1958"/>
      <c r="K39" s="1958"/>
      <c r="L39" s="1958"/>
      <c r="M39" s="1958"/>
      <c r="N39" s="67"/>
      <c r="O39" s="72"/>
      <c r="P39" s="72"/>
      <c r="Q39" s="78"/>
      <c r="R39" s="72"/>
      <c r="S39" s="56"/>
      <c r="T39" s="72" t="s">
        <v>531</v>
      </c>
      <c r="U39" s="51"/>
      <c r="V39" s="72"/>
      <c r="W39" s="50"/>
      <c r="X39" s="78"/>
      <c r="Y39" s="45"/>
      <c r="Z39" s="45"/>
      <c r="AA39" s="46"/>
    </row>
    <row r="40" spans="1:27" ht="13.5" customHeight="1" x14ac:dyDescent="0.2">
      <c r="A40" s="1965"/>
      <c r="B40" s="1966"/>
      <c r="C40" s="1967"/>
      <c r="D40" s="1967"/>
      <c r="E40" s="1967"/>
      <c r="F40" s="1968"/>
      <c r="G40" s="1968"/>
      <c r="H40" s="1969"/>
      <c r="I40" s="1990"/>
      <c r="J40" s="1991"/>
      <c r="K40" s="1991"/>
      <c r="L40" s="1991"/>
      <c r="M40" s="1991"/>
      <c r="N40" s="1991"/>
      <c r="O40" s="1991"/>
      <c r="P40" s="1991"/>
      <c r="Q40" s="1991"/>
      <c r="R40" s="1991"/>
      <c r="S40" s="1992"/>
      <c r="T40" s="1990" t="s">
        <v>2186</v>
      </c>
      <c r="U40" s="2053"/>
      <c r="V40" s="1991"/>
      <c r="W40" s="1991"/>
      <c r="X40" s="1991"/>
      <c r="Y40" s="1991"/>
      <c r="Z40" s="1991"/>
      <c r="AA40" s="199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9" t="s">
        <v>2133</v>
      </c>
      <c r="B42" s="1971"/>
      <c r="C42" s="1972"/>
      <c r="D42" s="1970" t="s">
        <v>2134</v>
      </c>
      <c r="E42" s="1971"/>
      <c r="F42" s="1971"/>
      <c r="G42" s="1971"/>
      <c r="H42" s="1972"/>
      <c r="I42" s="1954"/>
      <c r="J42" s="1955"/>
      <c r="K42" s="1955"/>
      <c r="L42" s="1955"/>
      <c r="M42" s="1955"/>
      <c r="N42" s="1955"/>
      <c r="O42" s="1956"/>
      <c r="P42" s="1989"/>
      <c r="Q42" s="1955"/>
      <c r="R42" s="1955"/>
      <c r="S42" s="1956"/>
      <c r="T42" s="1954" t="s">
        <v>2135</v>
      </c>
      <c r="U42" s="1955"/>
      <c r="V42" s="1955"/>
      <c r="W42" s="1956"/>
      <c r="X42" s="1989" t="s">
        <v>2136</v>
      </c>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4"/>
      <c r="B44" s="1985"/>
      <c r="C44" s="1985"/>
      <c r="D44" s="1985"/>
      <c r="E44" s="1985"/>
      <c r="F44" s="1985"/>
      <c r="G44" s="1985"/>
      <c r="H44" s="1986"/>
      <c r="I44" s="1959"/>
      <c r="J44" s="1960"/>
      <c r="K44" s="1960"/>
      <c r="L44" s="1960"/>
      <c r="M44" s="1960"/>
      <c r="N44" s="1960"/>
      <c r="O44" s="1960"/>
      <c r="P44" s="1960"/>
      <c r="Q44" s="1960"/>
      <c r="R44" s="1960"/>
      <c r="S44" s="1961"/>
      <c r="T44" s="1959"/>
      <c r="U44" s="1978"/>
      <c r="V44" s="1978"/>
      <c r="W44" s="1978"/>
      <c r="X44" s="1978"/>
      <c r="Y44" s="1978"/>
      <c r="Z44" s="1960"/>
      <c r="AA44" s="196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3" verticalDpi="4294967293"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C9" sqref="C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3" t="s">
        <v>1798</v>
      </c>
      <c r="B2" s="1528" t="s">
        <v>1945</v>
      </c>
      <c r="C2" s="714" t="s">
        <v>1946</v>
      </c>
      <c r="D2" s="714" t="s">
        <v>1947</v>
      </c>
      <c r="E2" s="714" t="s">
        <v>1948</v>
      </c>
      <c r="F2" s="714" t="s">
        <v>1949</v>
      </c>
    </row>
    <row r="3" spans="1:6" ht="12" customHeight="1" x14ac:dyDescent="0.2">
      <c r="A3" s="2194"/>
      <c r="B3" s="1525"/>
      <c r="C3" s="1526"/>
      <c r="D3" s="1527" t="s">
        <v>256</v>
      </c>
      <c r="E3" s="1526"/>
      <c r="F3" s="1527" t="s">
        <v>257</v>
      </c>
    </row>
    <row r="4" spans="1:6" ht="13.7" customHeight="1" x14ac:dyDescent="0.2">
      <c r="A4" s="715" t="s">
        <v>1155</v>
      </c>
      <c r="B4" s="1747">
        <f>'Revenues 9-14'!C5</f>
        <v>0</v>
      </c>
      <c r="C4" s="1524"/>
      <c r="D4" s="1750">
        <f>B4-C4</f>
        <v>0</v>
      </c>
      <c r="E4" s="1524"/>
      <c r="F4" s="1750">
        <f>E4-C4</f>
        <v>0</v>
      </c>
    </row>
    <row r="5" spans="1:6" ht="13.7" customHeight="1" x14ac:dyDescent="0.2">
      <c r="A5" s="715" t="s">
        <v>870</v>
      </c>
      <c r="B5" s="1748">
        <f>'Revenues 9-14'!D5</f>
        <v>0</v>
      </c>
      <c r="C5" s="585"/>
      <c r="D5" s="1751">
        <f t="shared" ref="D5:D18" si="0">B5-C5</f>
        <v>0</v>
      </c>
      <c r="E5" s="585"/>
      <c r="F5" s="1751">
        <f>E5-C5</f>
        <v>0</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0</v>
      </c>
      <c r="C7" s="585"/>
      <c r="D7" s="1751">
        <f t="shared" si="0"/>
        <v>0</v>
      </c>
      <c r="E7" s="585"/>
      <c r="F7" s="1751">
        <f t="shared" si="1"/>
        <v>0</v>
      </c>
    </row>
    <row r="8" spans="1:6" ht="13.7" customHeight="1" x14ac:dyDescent="0.2">
      <c r="A8" s="715" t="s">
        <v>1179</v>
      </c>
      <c r="B8" s="1748">
        <f>'Revenues 9-14'!G5</f>
        <v>0</v>
      </c>
      <c r="C8" s="585"/>
      <c r="D8" s="1751">
        <f t="shared" si="0"/>
        <v>0</v>
      </c>
      <c r="E8" s="585"/>
      <c r="F8" s="1751">
        <f t="shared" si="1"/>
        <v>0</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0</v>
      </c>
      <c r="C16" s="585"/>
      <c r="D16" s="1751">
        <f t="shared" si="0"/>
        <v>0</v>
      </c>
      <c r="E16" s="585"/>
      <c r="F16" s="1751">
        <f t="shared" si="1"/>
        <v>0</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0</v>
      </c>
      <c r="C19" s="1749">
        <f>SUM(C4:C18)</f>
        <v>0</v>
      </c>
      <c r="D19" s="1749">
        <f>SUM(D4:D18)</f>
        <v>0</v>
      </c>
      <c r="E19" s="1749">
        <f>SUM(E4:E18)</f>
        <v>0</v>
      </c>
      <c r="F19" s="1749">
        <f>SUM(F4:F18)</f>
        <v>0</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9" sqref="C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629</v>
      </c>
      <c r="B1" s="2213"/>
      <c r="C1" s="721"/>
    </row>
    <row r="2" spans="1:7" ht="33.75" x14ac:dyDescent="0.2">
      <c r="A2" s="2220" t="s">
        <v>1798</v>
      </c>
      <c r="B2" s="2221"/>
      <c r="C2" s="1881" t="s">
        <v>1950</v>
      </c>
      <c r="D2" s="723" t="s">
        <v>1951</v>
      </c>
      <c r="E2" s="723" t="s">
        <v>1952</v>
      </c>
      <c r="F2" s="1881" t="s">
        <v>1953</v>
      </c>
    </row>
    <row r="3" spans="1:7" ht="15.75" customHeight="1" x14ac:dyDescent="0.2">
      <c r="A3" s="2222" t="s">
        <v>1114</v>
      </c>
      <c r="B3" s="2223"/>
      <c r="C3" s="2216"/>
      <c r="D3" s="2217"/>
      <c r="E3" s="2217"/>
      <c r="F3" s="2218"/>
    </row>
    <row r="4" spans="1:7" ht="12.75" customHeight="1" thickBot="1" x14ac:dyDescent="0.25">
      <c r="A4" s="2210" t="s">
        <v>630</v>
      </c>
      <c r="B4" s="2211"/>
      <c r="C4" s="581"/>
      <c r="D4" s="581"/>
      <c r="E4" s="581"/>
      <c r="F4" s="1753">
        <f>SUM(C4+D4)-E4</f>
        <v>0</v>
      </c>
    </row>
    <row r="5" spans="1:7" ht="15.75" customHeight="1" thickTop="1" x14ac:dyDescent="0.2">
      <c r="A5" s="2214" t="s">
        <v>1110</v>
      </c>
      <c r="B5" s="2209"/>
      <c r="C5" s="2203"/>
      <c r="D5" s="2204"/>
      <c r="E5" s="2204"/>
      <c r="F5" s="220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06" t="s">
        <v>631</v>
      </c>
      <c r="B15" s="2207"/>
      <c r="C15" s="1753">
        <f>SUM(C6:C14)</f>
        <v>0</v>
      </c>
      <c r="D15" s="1753">
        <f>SUM(D6:D14)</f>
        <v>0</v>
      </c>
      <c r="E15" s="1753">
        <f>SUM(E6:E14)</f>
        <v>0</v>
      </c>
      <c r="F15" s="1753">
        <f>SUM(F6:F14)</f>
        <v>0</v>
      </c>
      <c r="G15" s="552"/>
    </row>
    <row r="16" spans="1:7" s="202" customFormat="1" ht="15.75" customHeight="1" thickTop="1" x14ac:dyDescent="0.2">
      <c r="A16" s="2219" t="s">
        <v>1111</v>
      </c>
      <c r="B16" s="2209"/>
      <c r="C16" s="2203"/>
      <c r="D16" s="2204"/>
      <c r="E16" s="2204"/>
      <c r="F16" s="2205"/>
    </row>
    <row r="17" spans="1:11" ht="12.75" customHeight="1" thickBot="1" x14ac:dyDescent="0.25">
      <c r="A17" s="2201" t="s">
        <v>64</v>
      </c>
      <c r="B17" s="2202"/>
      <c r="C17" s="726"/>
      <c r="D17" s="585"/>
      <c r="E17" s="726"/>
      <c r="F17" s="1753">
        <f>SUM(C17+D17)-E17</f>
        <v>0</v>
      </c>
    </row>
    <row r="18" spans="1:11" ht="12.75" customHeight="1" thickTop="1" thickBot="1" x14ac:dyDescent="0.25">
      <c r="A18" s="2201" t="s">
        <v>6</v>
      </c>
      <c r="B18" s="2202"/>
      <c r="C18" s="726"/>
      <c r="D18" s="585"/>
      <c r="E18" s="726"/>
      <c r="F18" s="1753">
        <f>SUM(C18+D18)-E18</f>
        <v>0</v>
      </c>
    </row>
    <row r="19" spans="1:11" ht="12.75" customHeight="1" thickTop="1" thickBot="1" x14ac:dyDescent="0.25">
      <c r="A19" s="2201" t="s">
        <v>388</v>
      </c>
      <c r="B19" s="2202"/>
      <c r="C19" s="726"/>
      <c r="D19" s="585"/>
      <c r="E19" s="726"/>
      <c r="F19" s="1753">
        <f>SUM(C19+D19)-E19</f>
        <v>0</v>
      </c>
    </row>
    <row r="20" spans="1:11" ht="12.75" customHeight="1" thickTop="1" thickBot="1" x14ac:dyDescent="0.25">
      <c r="A20" s="2201" t="s">
        <v>448</v>
      </c>
      <c r="B20" s="2202"/>
      <c r="C20" s="726"/>
      <c r="D20" s="585"/>
      <c r="E20" s="726"/>
      <c r="F20" s="1753">
        <f>SUM(C20+D20)-E20</f>
        <v>0</v>
      </c>
    </row>
    <row r="21" spans="1:11" ht="14.25" thickTop="1" thickBot="1" x14ac:dyDescent="0.25">
      <c r="A21" s="2206" t="s">
        <v>632</v>
      </c>
      <c r="B21" s="2207"/>
      <c r="C21" s="1753">
        <f>SUM(C17:C20)</f>
        <v>0</v>
      </c>
      <c r="D21" s="1753">
        <f>SUM(D17:D20)</f>
        <v>0</v>
      </c>
      <c r="E21" s="1753">
        <f>SUM(E17:E20)</f>
        <v>0</v>
      </c>
      <c r="F21" s="1753">
        <f>SUM(F17:F20)</f>
        <v>0</v>
      </c>
      <c r="G21" s="552"/>
    </row>
    <row r="22" spans="1:11" ht="15.75" customHeight="1" thickTop="1" x14ac:dyDescent="0.2">
      <c r="A22" s="2208" t="s">
        <v>1112</v>
      </c>
      <c r="B22" s="2209"/>
      <c r="C22" s="2203"/>
      <c r="D22" s="2204"/>
      <c r="E22" s="2204"/>
      <c r="F22" s="2205"/>
    </row>
    <row r="23" spans="1:11" ht="13.5" thickBot="1" x14ac:dyDescent="0.25">
      <c r="A23" s="2210" t="s">
        <v>633</v>
      </c>
      <c r="B23" s="2211"/>
      <c r="C23" s="581"/>
      <c r="D23" s="581"/>
      <c r="E23" s="581"/>
      <c r="F23" s="1753">
        <f>SUM(C23+D23)-E23</f>
        <v>0</v>
      </c>
      <c r="G23" s="552"/>
    </row>
    <row r="24" spans="1:11" ht="15.75" customHeight="1" thickTop="1" x14ac:dyDescent="0.2">
      <c r="A24" s="2208" t="s">
        <v>1113</v>
      </c>
      <c r="B24" s="2209"/>
      <c r="C24" s="2203"/>
      <c r="D24" s="2204"/>
      <c r="E24" s="2204"/>
      <c r="F24" s="2205"/>
    </row>
    <row r="25" spans="1:11" ht="13.5" thickBot="1" x14ac:dyDescent="0.25">
      <c r="A25" s="2210" t="s">
        <v>634</v>
      </c>
      <c r="B25" s="2211"/>
      <c r="C25" s="581"/>
      <c r="D25" s="581"/>
      <c r="E25" s="581"/>
      <c r="F25" s="1753">
        <f>SUM(C25+D25)-E25</f>
        <v>0</v>
      </c>
      <c r="G25" s="552"/>
    </row>
    <row r="26" spans="1:11" ht="15.75" customHeight="1" thickTop="1" x14ac:dyDescent="0.2">
      <c r="A26" s="2214" t="s">
        <v>657</v>
      </c>
      <c r="B26" s="2209"/>
      <c r="C26" s="727"/>
      <c r="D26" s="727"/>
      <c r="E26" s="727"/>
      <c r="F26" s="728"/>
    </row>
    <row r="27" spans="1:11" ht="13.5" thickBot="1" x14ac:dyDescent="0.25">
      <c r="A27" s="2206" t="s">
        <v>1070</v>
      </c>
      <c r="B27" s="2207"/>
      <c r="C27" s="585"/>
      <c r="D27" s="585"/>
      <c r="E27" s="585"/>
      <c r="F27" s="1753">
        <f>SUM(C27+D27)-E27</f>
        <v>0</v>
      </c>
      <c r="G27" s="552"/>
    </row>
    <row r="28" spans="1:11" ht="7.5" customHeight="1" thickTop="1" x14ac:dyDescent="0.2">
      <c r="A28" s="593"/>
    </row>
    <row r="29" spans="1:11" ht="23.25" customHeight="1" x14ac:dyDescent="0.2">
      <c r="A29" s="2212" t="s">
        <v>582</v>
      </c>
      <c r="B29" s="2213"/>
      <c r="C29" s="729"/>
      <c r="D29" s="729"/>
      <c r="E29" s="729"/>
      <c r="F29" s="729"/>
      <c r="G29" s="729"/>
      <c r="H29" s="729"/>
      <c r="I29" s="729"/>
      <c r="J29" s="729"/>
    </row>
    <row r="30" spans="1:11" ht="33.75" x14ac:dyDescent="0.2">
      <c r="A30" s="1529" t="s">
        <v>1071</v>
      </c>
      <c r="B30" s="730" t="s">
        <v>1124</v>
      </c>
      <c r="C30" s="1882" t="s">
        <v>583</v>
      </c>
      <c r="D30" s="1882" t="s">
        <v>1673</v>
      </c>
      <c r="E30" s="1882" t="s">
        <v>1954</v>
      </c>
      <c r="F30" s="1882" t="s">
        <v>1955</v>
      </c>
      <c r="G30" s="1882" t="s">
        <v>1906</v>
      </c>
      <c r="H30" s="1882" t="s">
        <v>1956</v>
      </c>
      <c r="I30" s="1882" t="s">
        <v>1957</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0</v>
      </c>
      <c r="D49" s="745"/>
      <c r="E49" s="1754">
        <f t="shared" ref="E49:J49" si="2">SUM(E31:E48)</f>
        <v>0</v>
      </c>
      <c r="F49" s="1754">
        <f t="shared" si="2"/>
        <v>0</v>
      </c>
      <c r="G49" s="1754">
        <f t="shared" si="2"/>
        <v>0</v>
      </c>
      <c r="H49" s="1754">
        <f t="shared" si="2"/>
        <v>0</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195" t="s">
        <v>584</v>
      </c>
      <c r="C52" s="2196"/>
      <c r="D52" s="2196"/>
      <c r="E52" s="749" t="s">
        <v>845</v>
      </c>
      <c r="F52" s="2197"/>
      <c r="G52" s="2198"/>
      <c r="H52" s="736"/>
      <c r="I52" s="736"/>
      <c r="J52" s="746"/>
    </row>
    <row r="53" spans="1:11" ht="11.25" customHeight="1" x14ac:dyDescent="0.2">
      <c r="A53" s="750" t="s">
        <v>913</v>
      </c>
      <c r="B53" s="751" t="s">
        <v>951</v>
      </c>
      <c r="C53" s="746"/>
      <c r="D53" s="737"/>
      <c r="E53" s="749" t="s">
        <v>497</v>
      </c>
      <c r="F53" s="2199"/>
      <c r="G53" s="2200"/>
      <c r="H53" s="736"/>
      <c r="I53" s="736"/>
      <c r="J53" s="746"/>
    </row>
    <row r="54" spans="1:11" ht="11.25" customHeight="1" x14ac:dyDescent="0.2">
      <c r="A54" s="752" t="s">
        <v>914</v>
      </c>
      <c r="B54" s="747" t="s">
        <v>952</v>
      </c>
      <c r="C54" s="746"/>
      <c r="D54" s="737"/>
      <c r="E54" s="749" t="s">
        <v>498</v>
      </c>
      <c r="F54" s="2199"/>
      <c r="G54" s="220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C9" sqref="C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856</v>
      </c>
      <c r="B1" s="2225"/>
      <c r="C1" s="2225"/>
      <c r="D1" s="2225"/>
      <c r="E1" s="2225"/>
      <c r="F1" s="2225"/>
      <c r="G1" s="2226"/>
      <c r="H1" s="1530"/>
      <c r="I1" s="760"/>
      <c r="J1" s="433"/>
    </row>
    <row r="2" spans="1:11" ht="26.25" x14ac:dyDescent="0.2">
      <c r="A2" s="2243" t="s">
        <v>1677</v>
      </c>
      <c r="B2" s="2244"/>
      <c r="C2" s="2244"/>
      <c r="D2" s="2244"/>
      <c r="E2" s="2245"/>
      <c r="F2" s="761" t="s">
        <v>904</v>
      </c>
      <c r="G2" s="762" t="s">
        <v>1674</v>
      </c>
      <c r="H2" s="762" t="s">
        <v>410</v>
      </c>
      <c r="I2" s="762" t="s">
        <v>1158</v>
      </c>
      <c r="J2" s="762" t="s">
        <v>1808</v>
      </c>
      <c r="K2" s="762" t="s">
        <v>138</v>
      </c>
    </row>
    <row r="3" spans="1:11" x14ac:dyDescent="0.2">
      <c r="A3" s="2246" t="s">
        <v>1958</v>
      </c>
      <c r="B3" s="2247"/>
      <c r="C3" s="2247"/>
      <c r="D3" s="2247"/>
      <c r="E3" s="2248"/>
      <c r="F3" s="763"/>
      <c r="G3" s="764"/>
      <c r="H3" s="764"/>
      <c r="I3" s="764"/>
      <c r="J3" s="765"/>
      <c r="K3" s="765"/>
    </row>
    <row r="4" spans="1:11" x14ac:dyDescent="0.2">
      <c r="A4" s="2249" t="s">
        <v>369</v>
      </c>
      <c r="B4" s="2250"/>
      <c r="C4" s="2250"/>
      <c r="D4" s="2250"/>
      <c r="E4" s="2196"/>
      <c r="F4" s="766"/>
      <c r="G4" s="767"/>
      <c r="H4" s="768"/>
      <c r="I4" s="767"/>
      <c r="J4" s="769"/>
      <c r="K4" s="769"/>
    </row>
    <row r="5" spans="1:11" x14ac:dyDescent="0.2">
      <c r="A5" s="2227" t="s">
        <v>1069</v>
      </c>
      <c r="B5" s="2228"/>
      <c r="C5" s="2228"/>
      <c r="D5" s="2228"/>
      <c r="E5" s="222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7" t="s">
        <v>1809</v>
      </c>
      <c r="B10" s="2228"/>
      <c r="C10" s="2228"/>
      <c r="D10" s="2228"/>
      <c r="E10" s="2230"/>
      <c r="F10" s="783" t="s">
        <v>862</v>
      </c>
      <c r="G10" s="782"/>
      <c r="H10" s="784"/>
      <c r="I10" s="764"/>
      <c r="J10" s="765"/>
      <c r="K10" s="765"/>
    </row>
    <row r="11" spans="1:11" x14ac:dyDescent="0.2">
      <c r="A11" s="2227" t="s">
        <v>160</v>
      </c>
      <c r="B11" s="2228"/>
      <c r="C11" s="2228"/>
      <c r="D11" s="2228"/>
      <c r="E11" s="2229"/>
      <c r="F11" s="770" t="s">
        <v>852</v>
      </c>
      <c r="G11" s="771"/>
      <c r="H11" s="764"/>
      <c r="I11" s="764"/>
      <c r="J11" s="765"/>
      <c r="K11" s="773"/>
    </row>
    <row r="12" spans="1:11" ht="13.5" thickBot="1" x14ac:dyDescent="0.25">
      <c r="A12" s="2254" t="s">
        <v>905</v>
      </c>
      <c r="B12" s="2255"/>
      <c r="C12" s="2255"/>
      <c r="D12" s="2255"/>
      <c r="E12" s="2256"/>
      <c r="F12" s="1755"/>
      <c r="G12" s="1756">
        <f>SUM(G5:G11)</f>
        <v>0</v>
      </c>
      <c r="H12" s="1756">
        <f>SUM(H5:H11)</f>
        <v>0</v>
      </c>
      <c r="I12" s="1756">
        <f>SUM(I5:I11)</f>
        <v>0</v>
      </c>
      <c r="J12" s="1756">
        <f>SUM(J5:J11)</f>
        <v>0</v>
      </c>
      <c r="K12" s="1756">
        <f>SUM(K5:K11)</f>
        <v>0</v>
      </c>
    </row>
    <row r="13" spans="1:11" ht="13.5" thickTop="1" x14ac:dyDescent="0.2">
      <c r="A13" s="2251" t="s">
        <v>370</v>
      </c>
      <c r="B13" s="2252"/>
      <c r="C13" s="2252"/>
      <c r="D13" s="2252"/>
      <c r="E13" s="2253"/>
      <c r="F13" s="785"/>
      <c r="G13" s="786"/>
      <c r="H13" s="787"/>
      <c r="I13" s="788"/>
      <c r="J13" s="788"/>
      <c r="K13" s="788"/>
    </row>
    <row r="14" spans="1:11" x14ac:dyDescent="0.2">
      <c r="A14" s="2234" t="s">
        <v>456</v>
      </c>
      <c r="B14" s="2234"/>
      <c r="C14" s="2234"/>
      <c r="D14" s="2234"/>
      <c r="E14" s="2235"/>
      <c r="F14" s="789" t="s">
        <v>854</v>
      </c>
      <c r="G14" s="782"/>
      <c r="H14" s="764"/>
      <c r="I14" s="771"/>
      <c r="J14" s="773"/>
      <c r="K14" s="765"/>
    </row>
    <row r="15" spans="1:11" x14ac:dyDescent="0.2">
      <c r="A15" s="2228" t="s">
        <v>4</v>
      </c>
      <c r="B15" s="2228"/>
      <c r="C15" s="2228"/>
      <c r="D15" s="2228"/>
      <c r="E15" s="2229"/>
      <c r="F15" s="789" t="s">
        <v>855</v>
      </c>
      <c r="G15" s="771"/>
      <c r="H15" s="764"/>
      <c r="I15" s="764"/>
      <c r="J15" s="765"/>
      <c r="K15" s="765"/>
    </row>
    <row r="16" spans="1:11" x14ac:dyDescent="0.2">
      <c r="A16" s="2228" t="s">
        <v>298</v>
      </c>
      <c r="B16" s="2228"/>
      <c r="C16" s="2228"/>
      <c r="D16" s="2228"/>
      <c r="E16" s="2229"/>
      <c r="F16" s="789" t="s">
        <v>923</v>
      </c>
      <c r="G16" s="772"/>
      <c r="H16" s="767"/>
      <c r="I16" s="767"/>
      <c r="J16" s="769"/>
      <c r="K16" s="769"/>
    </row>
    <row r="17" spans="1:11" x14ac:dyDescent="0.2">
      <c r="A17" s="2259" t="s">
        <v>935</v>
      </c>
      <c r="B17" s="2259"/>
      <c r="C17" s="2259"/>
      <c r="D17" s="2259"/>
      <c r="E17" s="2260"/>
      <c r="F17" s="790"/>
      <c r="G17" s="791"/>
      <c r="H17" s="792"/>
      <c r="I17" s="792"/>
      <c r="J17" s="793"/>
      <c r="K17" s="794"/>
    </row>
    <row r="18" spans="1:11" x14ac:dyDescent="0.2">
      <c r="A18" s="2238" t="s">
        <v>368</v>
      </c>
      <c r="B18" s="2239"/>
      <c r="C18" s="2239"/>
      <c r="D18" s="2239"/>
      <c r="E18" s="2240"/>
      <c r="F18" s="789" t="s">
        <v>932</v>
      </c>
      <c r="G18" s="782"/>
      <c r="H18" s="782"/>
      <c r="I18" s="782"/>
      <c r="J18" s="765"/>
      <c r="K18" s="795"/>
    </row>
    <row r="19" spans="1:11" ht="21.75" customHeight="1" x14ac:dyDescent="0.2">
      <c r="A19" s="2236" t="s">
        <v>1805</v>
      </c>
      <c r="B19" s="2236"/>
      <c r="C19" s="2236"/>
      <c r="D19" s="2236"/>
      <c r="E19" s="2237"/>
      <c r="F19" s="789" t="s">
        <v>933</v>
      </c>
      <c r="G19" s="782"/>
      <c r="H19" s="782"/>
      <c r="I19" s="782"/>
      <c r="J19" s="765"/>
      <c r="K19" s="795"/>
    </row>
    <row r="20" spans="1:11" x14ac:dyDescent="0.2">
      <c r="A20" s="2238" t="s">
        <v>1810</v>
      </c>
      <c r="B20" s="2239"/>
      <c r="C20" s="2239"/>
      <c r="D20" s="2239"/>
      <c r="E20" s="2240"/>
      <c r="F20" s="789" t="s">
        <v>934</v>
      </c>
      <c r="G20" s="782"/>
      <c r="H20" s="782"/>
      <c r="I20" s="782"/>
      <c r="J20" s="765"/>
      <c r="K20" s="795"/>
    </row>
    <row r="21" spans="1:11" ht="13.5" thickBot="1" x14ac:dyDescent="0.25">
      <c r="A21" s="2257" t="s">
        <v>638</v>
      </c>
      <c r="B21" s="2257"/>
      <c r="C21" s="2257"/>
      <c r="D21" s="2257"/>
      <c r="E21" s="2257"/>
      <c r="F21" s="1757"/>
      <c r="G21" s="792"/>
      <c r="H21" s="796"/>
      <c r="I21" s="796"/>
      <c r="J21" s="1758">
        <f>SUM(J18:J20)</f>
        <v>0</v>
      </c>
      <c r="K21" s="793"/>
    </row>
    <row r="22" spans="1:11" ht="13.5" thickTop="1" x14ac:dyDescent="0.2">
      <c r="A22" s="2228" t="s">
        <v>1811</v>
      </c>
      <c r="B22" s="2228"/>
      <c r="C22" s="2228"/>
      <c r="D22" s="2228"/>
      <c r="E22" s="2229"/>
      <c r="F22" s="789" t="s">
        <v>862</v>
      </c>
      <c r="G22" s="782"/>
      <c r="H22" s="764"/>
      <c r="I22" s="764"/>
      <c r="J22" s="797"/>
      <c r="K22" s="765"/>
    </row>
    <row r="23" spans="1:11" ht="13.5" thickBot="1" x14ac:dyDescent="0.25">
      <c r="A23" s="2258" t="s">
        <v>906</v>
      </c>
      <c r="B23" s="2257"/>
      <c r="C23" s="2257"/>
      <c r="D23" s="2257"/>
      <c r="E23" s="2257"/>
      <c r="F23" s="1759"/>
      <c r="G23" s="1756">
        <f>SUM(G14:G16,G21,G22)</f>
        <v>0</v>
      </c>
      <c r="H23" s="1756">
        <f>SUM(H14:H16,H21,H22)</f>
        <v>0</v>
      </c>
      <c r="I23" s="1756">
        <f>SUM(I14:I16,I21,I22)</f>
        <v>0</v>
      </c>
      <c r="J23" s="1756">
        <f>SUM(J14:J16,J21,J22)</f>
        <v>0</v>
      </c>
      <c r="K23" s="1756">
        <f>SUM(K14:K16,K21,K22)</f>
        <v>0</v>
      </c>
    </row>
    <row r="24" spans="1:11" ht="14.25" thickTop="1" thickBot="1" x14ac:dyDescent="0.25">
      <c r="A24" s="2258" t="s">
        <v>1959</v>
      </c>
      <c r="B24" s="2257"/>
      <c r="C24" s="2257"/>
      <c r="D24" s="2257"/>
      <c r="E24" s="2257"/>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1905</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1"/>
      <c r="I31" s="2232"/>
      <c r="J31" s="2232"/>
      <c r="K31" s="2232"/>
    </row>
    <row r="32" spans="1:11" x14ac:dyDescent="0.2">
      <c r="A32" s="809"/>
      <c r="B32" s="237"/>
      <c r="C32" s="237"/>
      <c r="D32" s="237"/>
      <c r="E32" s="805"/>
      <c r="F32" s="811" t="s">
        <v>540</v>
      </c>
      <c r="G32" s="764"/>
      <c r="H32" s="2233"/>
      <c r="I32" s="2232"/>
      <c r="J32" s="2232"/>
      <c r="K32" s="2232"/>
    </row>
    <row r="33" spans="1:11" ht="1.5" customHeight="1" x14ac:dyDescent="0.2">
      <c r="A33" s="812" t="s">
        <v>1169</v>
      </c>
      <c r="B33" s="364"/>
      <c r="C33" s="364"/>
      <c r="D33" s="364"/>
      <c r="E33" s="364"/>
      <c r="F33" s="364"/>
      <c r="G33" s="813"/>
      <c r="H33" s="2233"/>
      <c r="I33" s="2232"/>
      <c r="J33" s="2232"/>
      <c r="K33" s="2232"/>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41"/>
      <c r="C41" s="2241"/>
      <c r="D41" s="2241"/>
      <c r="E41" s="2241"/>
      <c r="F41" s="224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1806</v>
      </c>
      <c r="B46" s="408" t="s">
        <v>1675</v>
      </c>
    </row>
    <row r="47" spans="1:11" s="823" customFormat="1" ht="12.75" customHeight="1" x14ac:dyDescent="0.2">
      <c r="A47" s="821"/>
      <c r="B47" s="822" t="s">
        <v>1676</v>
      </c>
      <c r="E47" s="822"/>
      <c r="K47" s="824"/>
    </row>
    <row r="48" spans="1:11" ht="12.75" customHeight="1" x14ac:dyDescent="0.2">
      <c r="A48" s="1532"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4" colorId="8" zoomScale="110" zoomScaleNormal="110" workbookViewId="0">
      <selection activeCell="C9" sqref="C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1904</v>
      </c>
      <c r="B1" s="2264"/>
      <c r="C1" s="2265"/>
      <c r="D1" s="826"/>
      <c r="E1" s="827"/>
      <c r="F1" s="827"/>
      <c r="G1" s="828"/>
      <c r="H1" s="829"/>
      <c r="I1" s="830"/>
      <c r="J1" s="2261"/>
      <c r="K1" s="2262"/>
      <c r="L1" s="2262"/>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11850</v>
      </c>
      <c r="D5" s="841"/>
      <c r="E5" s="841"/>
      <c r="F5" s="1758">
        <f>(C5+D5)-E5</f>
        <v>11850</v>
      </c>
      <c r="G5" s="837"/>
      <c r="H5" s="842"/>
      <c r="I5" s="842"/>
      <c r="J5" s="842"/>
      <c r="K5" s="793"/>
      <c r="L5" s="1767">
        <f>F5-K5</f>
        <v>11850</v>
      </c>
    </row>
    <row r="6" spans="1:14" ht="14.25" thickTop="1" thickBot="1" x14ac:dyDescent="0.25">
      <c r="A6" s="778" t="s">
        <v>1117</v>
      </c>
      <c r="B6" s="840">
        <v>222</v>
      </c>
      <c r="C6" s="765"/>
      <c r="D6" s="765"/>
      <c r="E6" s="765"/>
      <c r="F6" s="1758">
        <f>(C6+D6)-E6</f>
        <v>0</v>
      </c>
      <c r="G6" s="837">
        <v>50</v>
      </c>
      <c r="H6" s="765">
        <v>0</v>
      </c>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165488</v>
      </c>
      <c r="D8" s="844"/>
      <c r="E8" s="844"/>
      <c r="F8" s="1758">
        <f>(C8+D8)-E8</f>
        <v>165488</v>
      </c>
      <c r="G8" s="843">
        <v>50</v>
      </c>
      <c r="H8" s="765">
        <v>88069</v>
      </c>
      <c r="I8" s="765">
        <v>4728</v>
      </c>
      <c r="J8" s="765"/>
      <c r="K8" s="1767">
        <f>(H8+I8)-J8</f>
        <v>92797</v>
      </c>
      <c r="L8" s="1767">
        <f>F8-K8</f>
        <v>72691</v>
      </c>
    </row>
    <row r="9" spans="1:14" ht="14.25" thickTop="1" thickBot="1" x14ac:dyDescent="0.25">
      <c r="A9" s="778" t="s">
        <v>1119</v>
      </c>
      <c r="B9" s="840">
        <v>232</v>
      </c>
      <c r="C9" s="765"/>
      <c r="D9" s="765"/>
      <c r="E9" s="765"/>
      <c r="F9" s="1758">
        <f>(C9+D9)-E9</f>
        <v>0</v>
      </c>
      <c r="G9" s="843">
        <v>20</v>
      </c>
      <c r="H9" s="765">
        <v>0</v>
      </c>
      <c r="I9" s="765"/>
      <c r="J9" s="765"/>
      <c r="K9" s="1767">
        <f>(H9+I9)-J9</f>
        <v>0</v>
      </c>
      <c r="L9" s="1767">
        <f>F9-K9</f>
        <v>0</v>
      </c>
    </row>
    <row r="10" spans="1:14" ht="24" thickTop="1" thickBot="1" x14ac:dyDescent="0.25">
      <c r="A10" s="845" t="s">
        <v>1120</v>
      </c>
      <c r="B10" s="840">
        <v>240</v>
      </c>
      <c r="C10" s="846">
        <v>17664</v>
      </c>
      <c r="D10" s="846"/>
      <c r="E10" s="846"/>
      <c r="F10" s="1762">
        <f>(C10+D10)-E10</f>
        <v>17664</v>
      </c>
      <c r="G10" s="843">
        <v>20</v>
      </c>
      <c r="H10" s="847">
        <v>15284</v>
      </c>
      <c r="I10" s="847">
        <v>883</v>
      </c>
      <c r="J10" s="847"/>
      <c r="K10" s="1767">
        <f>(H10+I10)-J10</f>
        <v>16167</v>
      </c>
      <c r="L10" s="1767">
        <f>F10-K10</f>
        <v>1497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2059033</v>
      </c>
      <c r="D12" s="844">
        <v>83760</v>
      </c>
      <c r="E12" s="844"/>
      <c r="F12" s="1758">
        <f>(C12+D12)-E12</f>
        <v>2142793</v>
      </c>
      <c r="G12" s="843">
        <v>10</v>
      </c>
      <c r="H12" s="765">
        <v>1765771</v>
      </c>
      <c r="I12" s="765">
        <v>114533</v>
      </c>
      <c r="J12" s="765"/>
      <c r="K12" s="1767">
        <f>(H12+I12)-J12</f>
        <v>1880304</v>
      </c>
      <c r="L12" s="1767">
        <f>F12-K12</f>
        <v>262489</v>
      </c>
    </row>
    <row r="13" spans="1:14" ht="14.25" thickTop="1" thickBot="1" x14ac:dyDescent="0.25">
      <c r="A13" s="848" t="s">
        <v>1122</v>
      </c>
      <c r="B13" s="840">
        <v>252</v>
      </c>
      <c r="C13" s="844"/>
      <c r="D13" s="844"/>
      <c r="E13" s="844"/>
      <c r="F13" s="1758">
        <f>(C13+D13)-E13</f>
        <v>0</v>
      </c>
      <c r="G13" s="843">
        <v>5</v>
      </c>
      <c r="H13" s="765"/>
      <c r="I13" s="765"/>
      <c r="J13" s="765"/>
      <c r="K13" s="1767">
        <f>(H13+I13)-J13</f>
        <v>0</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2254035</v>
      </c>
      <c r="D16" s="1758">
        <f>SUM(D3,D5:D6,D8:D10,D12:D15)</f>
        <v>83760</v>
      </c>
      <c r="E16" s="1758">
        <f>SUM(E3,E5:E6,E8:E10,E12:E15)</f>
        <v>0</v>
      </c>
      <c r="F16" s="1758">
        <f>SUM(F3,F5:F6,F8:F10,F12:F15)</f>
        <v>2337795</v>
      </c>
      <c r="G16" s="843"/>
      <c r="H16" s="1758">
        <f>SUM(H3,H6,H8:H10,H12:H14,)</f>
        <v>1869124</v>
      </c>
      <c r="I16" s="1758">
        <f>SUM(I3,I6,I8:I10,I12:I14,)</f>
        <v>120144</v>
      </c>
      <c r="J16" s="1758">
        <f>SUM(J3,J6,J8:J10,J12:J14,)</f>
        <v>0</v>
      </c>
      <c r="K16" s="1758">
        <f>(H16+I16)-J16</f>
        <v>1989268</v>
      </c>
      <c r="L16" s="1758">
        <f>F16-K16</f>
        <v>348527</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120144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C9" sqref="C9"/>
      <selection pane="bottomLeft" activeCell="C9" sqref="C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9" t="s">
        <v>1969</v>
      </c>
      <c r="B1" s="2270"/>
      <c r="C1" s="2270"/>
      <c r="D1" s="2270"/>
      <c r="E1" s="2270"/>
      <c r="F1" s="2271"/>
      <c r="G1" s="855"/>
    </row>
    <row r="2" spans="1:7" ht="15" customHeight="1" thickBot="1" x14ac:dyDescent="0.25">
      <c r="A2" s="2272" t="s">
        <v>477</v>
      </c>
      <c r="B2" s="2273"/>
      <c r="C2" s="2273"/>
      <c r="D2" s="2273"/>
      <c r="E2" s="2273"/>
      <c r="F2" s="227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5895904</v>
      </c>
      <c r="G8" s="865"/>
    </row>
    <row r="9" spans="1:7" x14ac:dyDescent="0.2">
      <c r="A9" s="869" t="s">
        <v>460</v>
      </c>
      <c r="B9" s="870" t="s">
        <v>1872</v>
      </c>
      <c r="C9" s="871"/>
      <c r="D9" s="869" t="s">
        <v>501</v>
      </c>
      <c r="E9" s="868"/>
      <c r="F9" s="1906">
        <f>'Expenditures 15-22'!K151</f>
        <v>1345</v>
      </c>
      <c r="G9" s="872"/>
    </row>
    <row r="10" spans="1:7" x14ac:dyDescent="0.2">
      <c r="A10" s="869" t="s">
        <v>499</v>
      </c>
      <c r="B10" s="870" t="s">
        <v>1873</v>
      </c>
      <c r="C10" s="871"/>
      <c r="D10" s="869" t="s">
        <v>501</v>
      </c>
      <c r="E10" s="868"/>
      <c r="F10" s="1906">
        <f>'Expenditures 15-22'!K174</f>
        <v>0</v>
      </c>
      <c r="G10" s="872"/>
    </row>
    <row r="11" spans="1:7" x14ac:dyDescent="0.2">
      <c r="A11" s="869" t="s">
        <v>461</v>
      </c>
      <c r="B11" s="870" t="s">
        <v>1874</v>
      </c>
      <c r="C11" s="871"/>
      <c r="D11" s="869" t="s">
        <v>501</v>
      </c>
      <c r="E11" s="868"/>
      <c r="F11" s="1906">
        <f>'Expenditures 15-22'!K210</f>
        <v>0</v>
      </c>
      <c r="G11" s="872"/>
    </row>
    <row r="12" spans="1:7" x14ac:dyDescent="0.2">
      <c r="A12" s="869" t="s">
        <v>462</v>
      </c>
      <c r="B12" s="870" t="s">
        <v>1875</v>
      </c>
      <c r="C12" s="871"/>
      <c r="D12" s="869" t="s">
        <v>501</v>
      </c>
      <c r="E12" s="868"/>
      <c r="F12" s="1906">
        <f>'Expenditures 15-22'!K295</f>
        <v>0</v>
      </c>
      <c r="G12" s="872"/>
    </row>
    <row r="13" spans="1:7" x14ac:dyDescent="0.2">
      <c r="A13" s="869" t="s">
        <v>106</v>
      </c>
      <c r="B13" s="870" t="s">
        <v>1876</v>
      </c>
      <c r="C13" s="871"/>
      <c r="D13" s="869" t="s">
        <v>501</v>
      </c>
      <c r="E13" s="868"/>
      <c r="F13" s="1906">
        <f>'Expenditures 15-22'!K342</f>
        <v>0</v>
      </c>
      <c r="G13" s="873"/>
    </row>
    <row r="14" spans="1:7" ht="12" customHeight="1" thickBot="1" x14ac:dyDescent="0.25">
      <c r="A14" s="1768"/>
      <c r="B14" s="1769"/>
      <c r="C14" s="1770"/>
      <c r="D14" s="1771" t="s">
        <v>501</v>
      </c>
      <c r="E14" s="1772" t="s">
        <v>958</v>
      </c>
      <c r="F14" s="1773">
        <f>SUM(F8:F13)</f>
        <v>5897249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11">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1996</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93916</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659299</v>
      </c>
      <c r="G53" s="865"/>
    </row>
    <row r="54" spans="1:7" x14ac:dyDescent="0.2">
      <c r="A54" s="869" t="s">
        <v>459</v>
      </c>
      <c r="B54" s="869" t="s">
        <v>1476</v>
      </c>
      <c r="C54" s="889" t="s">
        <v>982</v>
      </c>
      <c r="D54" s="885" t="s">
        <v>1095</v>
      </c>
      <c r="E54" s="868"/>
      <c r="F54" s="1910">
        <f>'Expenditures 15-22'!G114</f>
        <v>83760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10">
        <f>'Expenditures 15-22'!K139</f>
        <v>0</v>
      </c>
      <c r="G57" s="865"/>
    </row>
    <row r="58" spans="1:7" x14ac:dyDescent="0.2">
      <c r="A58" s="869" t="s">
        <v>460</v>
      </c>
      <c r="B58" s="869" t="s">
        <v>1878</v>
      </c>
      <c r="C58" s="886" t="s">
        <v>982</v>
      </c>
      <c r="D58" s="885" t="s">
        <v>1095</v>
      </c>
      <c r="E58" s="868"/>
      <c r="F58" s="1912">
        <f>'Expenditures 15-22'!G151</f>
        <v>0</v>
      </c>
      <c r="G58" s="865"/>
    </row>
    <row r="59" spans="1:7" x14ac:dyDescent="0.2">
      <c r="A59" s="893" t="s">
        <v>460</v>
      </c>
      <c r="B59" s="856" t="s">
        <v>1879</v>
      </c>
      <c r="C59" s="894" t="s">
        <v>982</v>
      </c>
      <c r="D59" s="856" t="s">
        <v>291</v>
      </c>
      <c r="F59" s="1913">
        <f>'Expenditures 15-22'!I151</f>
        <v>0</v>
      </c>
      <c r="G59" s="865"/>
    </row>
    <row r="60" spans="1:7" x14ac:dyDescent="0.2">
      <c r="A60" s="893" t="s">
        <v>499</v>
      </c>
      <c r="B60" s="856" t="s">
        <v>1880</v>
      </c>
      <c r="C60" s="894">
        <v>4000</v>
      </c>
      <c r="D60" s="856" t="s">
        <v>312</v>
      </c>
      <c r="F60" s="1911">
        <f>'Expenditures 15-22'!K160</f>
        <v>0</v>
      </c>
      <c r="G60" s="865"/>
    </row>
    <row r="61" spans="1:7" x14ac:dyDescent="0.2">
      <c r="A61" s="895" t="s">
        <v>499</v>
      </c>
      <c r="B61" s="895" t="s">
        <v>1881</v>
      </c>
      <c r="C61" s="896" t="str">
        <f>'Expenditures 15-22'!B170</f>
        <v>5300</v>
      </c>
      <c r="D61" s="897" t="s">
        <v>311</v>
      </c>
      <c r="E61" s="879"/>
      <c r="F61" s="1910">
        <f>'Expenditures 15-22'!K170</f>
        <v>0</v>
      </c>
      <c r="G61" s="865"/>
    </row>
    <row r="62" spans="1:7" x14ac:dyDescent="0.2">
      <c r="A62" s="869" t="s">
        <v>461</v>
      </c>
      <c r="B62" s="869" t="s">
        <v>1882</v>
      </c>
      <c r="C62" s="886">
        <f>'Expenditures 15-22'!B185</f>
        <v>3000</v>
      </c>
      <c r="D62" s="876" t="s">
        <v>449</v>
      </c>
      <c r="E62" s="868"/>
      <c r="F62" s="1910">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1884</v>
      </c>
      <c r="C64" s="896" t="str">
        <f>'Expenditures 15-22'!B206</f>
        <v>5300</v>
      </c>
      <c r="D64" s="892" t="s">
        <v>311</v>
      </c>
      <c r="E64" s="868"/>
      <c r="F64" s="1910">
        <f>'Expenditures 15-22'!K206</f>
        <v>0</v>
      </c>
      <c r="G64" s="865"/>
    </row>
    <row r="65" spans="1:8" x14ac:dyDescent="0.2">
      <c r="A65" s="869" t="s">
        <v>461</v>
      </c>
      <c r="B65" s="869" t="s">
        <v>1885</v>
      </c>
      <c r="C65" s="886" t="s">
        <v>982</v>
      </c>
      <c r="D65" s="885" t="s">
        <v>1095</v>
      </c>
      <c r="E65" s="868"/>
      <c r="F65" s="1910">
        <f>'Expenditures 15-22'!G210</f>
        <v>0</v>
      </c>
      <c r="G65" s="865"/>
    </row>
    <row r="66" spans="1:8" x14ac:dyDescent="0.2">
      <c r="A66" s="869" t="s">
        <v>461</v>
      </c>
      <c r="B66" s="869" t="s">
        <v>1886</v>
      </c>
      <c r="C66" s="886" t="s">
        <v>982</v>
      </c>
      <c r="D66" s="885" t="s">
        <v>291</v>
      </c>
      <c r="E66" s="868"/>
      <c r="F66" s="1910">
        <f>'Expenditures 15-22'!I210</f>
        <v>0</v>
      </c>
      <c r="G66" s="865"/>
    </row>
    <row r="67" spans="1:8" x14ac:dyDescent="0.2">
      <c r="A67" s="869" t="s">
        <v>462</v>
      </c>
      <c r="B67" s="869" t="s">
        <v>1887</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1889</v>
      </c>
      <c r="C70" s="886">
        <f>'Expenditures 15-22'!B221</f>
        <v>1300</v>
      </c>
      <c r="D70" s="887" t="str">
        <f>'Expenditures 15-22'!A221</f>
        <v>Adult/Continuing Education Programs</v>
      </c>
      <c r="E70" s="868"/>
      <c r="F70" s="1910">
        <f>'Expenditures 15-22'!K221</f>
        <v>0</v>
      </c>
      <c r="G70" s="865"/>
    </row>
    <row r="71" spans="1:8" x14ac:dyDescent="0.2">
      <c r="A71" s="869" t="s">
        <v>462</v>
      </c>
      <c r="B71" s="869" t="s">
        <v>1890</v>
      </c>
      <c r="C71" s="886">
        <f>'Expenditures 15-22'!B224</f>
        <v>1600</v>
      </c>
      <c r="D71" s="887" t="str">
        <f>'Expenditures 15-22'!A224</f>
        <v>Summer School Programs</v>
      </c>
      <c r="E71" s="868"/>
      <c r="F71" s="1910">
        <f>'Expenditures 15-22'!K224</f>
        <v>0</v>
      </c>
      <c r="G71" s="865"/>
    </row>
    <row r="72" spans="1:8" x14ac:dyDescent="0.2">
      <c r="A72" s="869" t="s">
        <v>462</v>
      </c>
      <c r="B72" s="869" t="s">
        <v>1891</v>
      </c>
      <c r="C72" s="886">
        <f>'Expenditures 15-22'!B280</f>
        <v>3000</v>
      </c>
      <c r="D72" s="876" t="s">
        <v>449</v>
      </c>
      <c r="E72" s="868"/>
      <c r="F72" s="1910">
        <f>'Expenditures 15-22'!K280</f>
        <v>0</v>
      </c>
      <c r="G72" s="865"/>
    </row>
    <row r="73" spans="1:8" x14ac:dyDescent="0.2">
      <c r="A73" s="869" t="s">
        <v>462</v>
      </c>
      <c r="B73" s="869" t="s">
        <v>1892</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1893</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1894</v>
      </c>
      <c r="E76" s="1772" t="s">
        <v>958</v>
      </c>
      <c r="F76" s="1776">
        <f>SUM(F18:F74)</f>
        <v>836975</v>
      </c>
      <c r="G76" s="865"/>
    </row>
    <row r="77" spans="1:8" s="893" customFormat="1" ht="12" customHeight="1" thickTop="1" thickBot="1" x14ac:dyDescent="0.25">
      <c r="A77" s="1777"/>
      <c r="B77" s="1774"/>
      <c r="C77" s="1770"/>
      <c r="D77" s="1775" t="s">
        <v>1895</v>
      </c>
      <c r="E77" s="1772"/>
      <c r="F77" s="1778">
        <f>(F14-F76)</f>
        <v>5060274</v>
      </c>
      <c r="G77" s="869"/>
    </row>
    <row r="78" spans="1:8" s="893" customFormat="1" ht="12" customHeight="1" thickTop="1" x14ac:dyDescent="0.2">
      <c r="A78" s="1779"/>
      <c r="B78" s="1774"/>
      <c r="C78" s="1770"/>
      <c r="D78" s="1775" t="s">
        <v>2056</v>
      </c>
      <c r="E78" s="1772"/>
      <c r="F78" s="898">
        <v>0</v>
      </c>
      <c r="G78" s="899"/>
      <c r="H78" s="869"/>
    </row>
    <row r="79" spans="1:8" s="893" customFormat="1" ht="12" customHeight="1" thickBot="1" x14ac:dyDescent="0.25">
      <c r="A79" s="1780"/>
      <c r="B79" s="1774"/>
      <c r="C79" s="1770"/>
      <c r="D79" s="1775" t="s">
        <v>1896</v>
      </c>
      <c r="E79" s="1772" t="s">
        <v>958</v>
      </c>
      <c r="F79" s="1781"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6" t="s">
        <v>1105</v>
      </c>
      <c r="B81" s="2267"/>
      <c r="C81" s="2267"/>
      <c r="D81" s="2267"/>
      <c r="E81" s="2267"/>
      <c r="F81" s="226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37</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67378</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1171503</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1997</v>
      </c>
      <c r="C105" s="913">
        <v>3100</v>
      </c>
      <c r="D105" s="919" t="str">
        <f>'Revenues 9-14'!A132</f>
        <v>Total Special Education</v>
      </c>
      <c r="E105" s="906"/>
      <c r="F105" s="1787">
        <f>SUM('Revenues 9-14'!C132:D132,'Revenues 9-14'!F132)</f>
        <v>0</v>
      </c>
      <c r="G105" s="912"/>
    </row>
    <row r="106" spans="1:7" x14ac:dyDescent="0.2">
      <c r="A106" s="908" t="s">
        <v>673</v>
      </c>
      <c r="B106" s="908" t="s">
        <v>1998</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1999</v>
      </c>
      <c r="C107" s="920">
        <v>3300</v>
      </c>
      <c r="D107" s="911" t="str">
        <f>'Revenues 9-14'!A145</f>
        <v>Total Bilingual Ed</v>
      </c>
      <c r="E107" s="906"/>
      <c r="F107" s="1787">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7">
        <f>'Revenues 9-14'!C146</f>
        <v>660</v>
      </c>
      <c r="G108" s="912"/>
    </row>
    <row r="109" spans="1:7" x14ac:dyDescent="0.2">
      <c r="A109" s="908" t="s">
        <v>673</v>
      </c>
      <c r="B109" s="908" t="s">
        <v>2001</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7">
        <f>SUM('Revenues 9-14'!C148,'Revenues 9-14'!D148)</f>
        <v>0</v>
      </c>
      <c r="G110" s="912"/>
    </row>
    <row r="111" spans="1:7" x14ac:dyDescent="0.2">
      <c r="A111" s="908" t="s">
        <v>668</v>
      </c>
      <c r="B111" s="908" t="s">
        <v>2003</v>
      </c>
      <c r="C111" s="922">
        <v>3500</v>
      </c>
      <c r="D111" s="911" t="str">
        <f>'Revenues 9-14'!A155</f>
        <v>Total Transportation</v>
      </c>
      <c r="E111" s="906"/>
      <c r="F111" s="1787">
        <f>SUM('Revenues 9-14'!C155,'Revenues 9-14'!D155,'Revenues 9-14'!F155,'Revenues 9-14'!G155)</f>
        <v>0</v>
      </c>
      <c r="G111" s="912"/>
    </row>
    <row r="112" spans="1:7" x14ac:dyDescent="0.2">
      <c r="A112" s="908" t="s">
        <v>459</v>
      </c>
      <c r="B112" s="908" t="s">
        <v>2004</v>
      </c>
      <c r="C112" s="920">
        <f>'Revenues 9-14'!B156</f>
        <v>3610</v>
      </c>
      <c r="D112" s="911" t="str">
        <f>'Revenues 9-14'!A156</f>
        <v>Learning Improvement - Change Grants</v>
      </c>
      <c r="E112" s="906"/>
      <c r="F112" s="1787">
        <f>'Revenues 9-14'!C156</f>
        <v>0</v>
      </c>
      <c r="G112" s="912"/>
    </row>
    <row r="113" spans="1:7" x14ac:dyDescent="0.2">
      <c r="A113" s="908" t="s">
        <v>668</v>
      </c>
      <c r="B113" s="908" t="s">
        <v>2005</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2007</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904">
        <f>SUM('Revenues 9-14'!C163:G163)</f>
        <v>0</v>
      </c>
      <c r="G118" s="912"/>
    </row>
    <row r="119" spans="1:7" x14ac:dyDescent="0.2">
      <c r="A119" s="923" t="s">
        <v>504</v>
      </c>
      <c r="B119" s="923" t="s">
        <v>2011</v>
      </c>
      <c r="C119" s="924">
        <f>'Revenues 9-14'!B164</f>
        <v>3815</v>
      </c>
      <c r="D119" s="925" t="str">
        <f>'Revenues 9-14'!A164</f>
        <v>State Charter Schools</v>
      </c>
      <c r="E119" s="906"/>
      <c r="F119" s="1904">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7">
        <f>'Revenues 9-14'!D167</f>
        <v>0</v>
      </c>
      <c r="G120" s="930"/>
    </row>
    <row r="121" spans="1:7" x14ac:dyDescent="0.2">
      <c r="A121" s="927" t="s">
        <v>500</v>
      </c>
      <c r="B121" s="927" t="s">
        <v>2013</v>
      </c>
      <c r="C121" s="928">
        <f>'Revenues 9-14'!B168</f>
        <v>3999</v>
      </c>
      <c r="D121" s="929" t="s">
        <v>543</v>
      </c>
      <c r="E121" s="931"/>
      <c r="F121" s="1787">
        <f>SUM('Revenues 9-14'!C168:G168,'Revenues 9-14'!J168)</f>
        <v>0</v>
      </c>
      <c r="G121" s="930"/>
    </row>
    <row r="122" spans="1:7" x14ac:dyDescent="0.2">
      <c r="A122" s="927" t="s">
        <v>459</v>
      </c>
      <c r="B122" s="927" t="s">
        <v>2014</v>
      </c>
      <c r="C122" s="932">
        <f>'Revenues 9-14'!B177</f>
        <v>4045</v>
      </c>
      <c r="D122" s="929" t="str">
        <f>'Revenues 9-14'!A177 &amp; " (Subtract)"</f>
        <v>Head Start (Subtract)</v>
      </c>
      <c r="E122" s="906"/>
      <c r="F122" s="1787">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2016</v>
      </c>
      <c r="C124" s="932">
        <v>4100</v>
      </c>
      <c r="D124" s="933" t="str">
        <f>'Revenues 9-14'!A188</f>
        <v>Total Title V</v>
      </c>
      <c r="E124" s="906"/>
      <c r="F124" s="1787">
        <f>SUM('Revenues 9-14'!C188,'Revenues 9-14'!D188,'Revenues 9-14'!F188,'Revenues 9-14'!G188)</f>
        <v>0</v>
      </c>
      <c r="G124" s="930"/>
    </row>
    <row r="125" spans="1:7" x14ac:dyDescent="0.2">
      <c r="A125" s="927" t="s">
        <v>664</v>
      </c>
      <c r="B125" s="927" t="s">
        <v>2017</v>
      </c>
      <c r="C125" s="932">
        <v>4200</v>
      </c>
      <c r="D125" s="929" t="str">
        <f>'Revenues 9-14'!A198</f>
        <v>Total Food Service</v>
      </c>
      <c r="E125" s="906"/>
      <c r="F125" s="1787">
        <f>SUM('Revenues 9-14'!C198,'Revenues 9-14'!G198)</f>
        <v>34122</v>
      </c>
      <c r="G125" s="930"/>
    </row>
    <row r="126" spans="1:7" x14ac:dyDescent="0.2">
      <c r="A126" s="927" t="s">
        <v>668</v>
      </c>
      <c r="B126" s="927" t="s">
        <v>2018</v>
      </c>
      <c r="C126" s="932">
        <v>4300</v>
      </c>
      <c r="D126" s="933" t="str">
        <f>'Revenues 9-14'!A204</f>
        <v>Total Title I</v>
      </c>
      <c r="E126" s="906"/>
      <c r="F126" s="1787">
        <f>SUM('Revenues 9-14'!C204,'Revenues 9-14'!D204,'Revenues 9-14'!F204,'Revenues 9-14'!G204)</f>
        <v>0</v>
      </c>
      <c r="G126" s="930"/>
    </row>
    <row r="127" spans="1:7" x14ac:dyDescent="0.2">
      <c r="A127" s="927" t="s">
        <v>668</v>
      </c>
      <c r="B127" s="927" t="s">
        <v>2019</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2020</v>
      </c>
      <c r="C128" s="932">
        <f>'Revenues 9-14'!B213</f>
        <v>4620</v>
      </c>
      <c r="D128" s="933" t="str">
        <f>'Revenues 9-14'!A213</f>
        <v>Fed - Spec Education - IDEA - Flow Through</v>
      </c>
      <c r="E128" s="906"/>
      <c r="F128" s="1787">
        <f>SUM('Revenues 9-14'!C213:D213,'Revenues 9-14'!F213:G213)</f>
        <v>2496382</v>
      </c>
      <c r="G128" s="930"/>
    </row>
    <row r="129" spans="1:7" x14ac:dyDescent="0.2">
      <c r="A129" s="927" t="s">
        <v>668</v>
      </c>
      <c r="B129" s="927" t="s">
        <v>2021</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2022</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2023</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7">
        <v>0</v>
      </c>
      <c r="G138" s="905"/>
    </row>
    <row r="139" spans="1:7" s="867" customFormat="1" hidden="1" x14ac:dyDescent="0.2">
      <c r="A139" s="934" t="s">
        <v>206</v>
      </c>
      <c r="B139" s="934" t="s">
        <v>2030</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2038</v>
      </c>
      <c r="C157" s="940" t="s">
        <v>841</v>
      </c>
      <c r="D157" s="941" t="s">
        <v>777</v>
      </c>
      <c r="E157" s="942"/>
      <c r="F157" s="1787">
        <f>SUM(F133:F156)</f>
        <v>0</v>
      </c>
      <c r="G157" s="905"/>
    </row>
    <row r="158" spans="1:7" s="867" customFormat="1" x14ac:dyDescent="0.2">
      <c r="A158" s="938" t="s">
        <v>459</v>
      </c>
      <c r="B158" s="939" t="s">
        <v>2039</v>
      </c>
      <c r="C158" s="940" t="s">
        <v>1427</v>
      </c>
      <c r="D158" s="941" t="s">
        <v>1428</v>
      </c>
      <c r="E158" s="942"/>
      <c r="F158" s="1787">
        <f>SUM('Revenues 9-14'!C253)</f>
        <v>0</v>
      </c>
      <c r="G158" s="905"/>
    </row>
    <row r="159" spans="1:7" s="867" customFormat="1" x14ac:dyDescent="0.2">
      <c r="A159" s="938" t="s">
        <v>500</v>
      </c>
      <c r="B159" s="939" t="s">
        <v>2040</v>
      </c>
      <c r="C159" s="940" t="s">
        <v>1466</v>
      </c>
      <c r="D159" s="941" t="s">
        <v>1467</v>
      </c>
      <c r="E159" s="942"/>
      <c r="F159" s="1787">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2043</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904">
        <f>SUM('Revenues 9-14'!C259,'Revenues 9-14'!D259,'Revenues 9-14'!F259,'Revenues 9-14'!G259)</f>
        <v>0</v>
      </c>
      <c r="G164" s="930"/>
    </row>
    <row r="165" spans="1:7" x14ac:dyDescent="0.2">
      <c r="A165" s="927" t="s">
        <v>668</v>
      </c>
      <c r="B165" s="927" t="s">
        <v>2046</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7">
        <f>SUM('Revenues 9-14'!C263:D263,'Revenues 9-14'!F263:G263)</f>
        <v>73699</v>
      </c>
      <c r="G168" s="947">
        <v>6320</v>
      </c>
    </row>
    <row r="169" spans="1:7" x14ac:dyDescent="0.2">
      <c r="A169" s="927" t="s">
        <v>668</v>
      </c>
      <c r="B169" s="927" t="s">
        <v>2048</v>
      </c>
      <c r="C169" s="932">
        <f>'Revenues 9-14'!B264</f>
        <v>4992</v>
      </c>
      <c r="D169" s="933" t="str">
        <f>'Revenues 9-14'!A264</f>
        <v>Medicaid Matching Funds - Fee-for-Service Program</v>
      </c>
      <c r="E169" s="906"/>
      <c r="F169" s="1787">
        <f>SUM('Revenues 9-14'!C264:D264,'Revenues 9-14'!F264:G264)</f>
        <v>239378</v>
      </c>
      <c r="G169" s="947"/>
    </row>
    <row r="170" spans="1:7" x14ac:dyDescent="0.2">
      <c r="A170" s="948" t="s">
        <v>668</v>
      </c>
      <c r="B170" s="944" t="s">
        <v>2049</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1915</v>
      </c>
      <c r="C171" s="1917">
        <v>3100</v>
      </c>
      <c r="D171" s="1918" t="s">
        <v>1917</v>
      </c>
      <c r="E171" s="906"/>
      <c r="F171" s="1903"/>
      <c r="G171" s="927"/>
    </row>
    <row r="172" spans="1:7" x14ac:dyDescent="0.2">
      <c r="A172" s="1915" t="s">
        <v>664</v>
      </c>
      <c r="B172" s="1916" t="s">
        <v>1915</v>
      </c>
      <c r="C172" s="1917">
        <v>3300</v>
      </c>
      <c r="D172" s="1918" t="s">
        <v>1918</v>
      </c>
      <c r="E172" s="906"/>
      <c r="F172" s="1903"/>
      <c r="G172" s="927"/>
    </row>
    <row r="173" spans="1:7" ht="6" customHeight="1" x14ac:dyDescent="0.2">
      <c r="A173" s="927"/>
      <c r="B173" s="927"/>
      <c r="C173" s="949"/>
      <c r="D173" s="927"/>
      <c r="E173" s="906"/>
      <c r="F173" s="950"/>
      <c r="G173" s="947"/>
    </row>
    <row r="174" spans="1:7" x14ac:dyDescent="0.2">
      <c r="A174" s="1768"/>
      <c r="B174" s="1782"/>
      <c r="C174" s="1783"/>
      <c r="D174" s="1784" t="s">
        <v>2050</v>
      </c>
      <c r="E174" s="1785" t="s">
        <v>958</v>
      </c>
      <c r="F174" s="1786">
        <f>SUM(F84:F132,F157:F172)</f>
        <v>4083159</v>
      </c>
    </row>
    <row r="175" spans="1:7" ht="12" customHeight="1" x14ac:dyDescent="0.2">
      <c r="A175" s="1768"/>
      <c r="B175" s="1782"/>
      <c r="C175" s="1783"/>
      <c r="D175" s="1784" t="s">
        <v>2051</v>
      </c>
      <c r="E175" s="1785"/>
      <c r="F175" s="1787">
        <f>'PCTC-OEPP 27-28'!F77-F174</f>
        <v>977115</v>
      </c>
    </row>
    <row r="176" spans="1:7" ht="12" customHeight="1" x14ac:dyDescent="0.2">
      <c r="A176" s="1768"/>
      <c r="B176" s="1782"/>
      <c r="C176" s="1783"/>
      <c r="D176" s="1784" t="s">
        <v>1813</v>
      </c>
      <c r="E176" s="1785"/>
      <c r="F176" s="1787">
        <f>'Cap Outlay Deprec 26'!I18</f>
        <v>120144</v>
      </c>
    </row>
    <row r="177" spans="1:7" ht="12" customHeight="1" x14ac:dyDescent="0.2">
      <c r="A177" s="1768"/>
      <c r="B177" s="1782"/>
      <c r="C177" s="1783"/>
      <c r="D177" s="1784" t="s">
        <v>2052</v>
      </c>
      <c r="E177" s="1785"/>
      <c r="F177" s="1787">
        <f>F175+F176</f>
        <v>1097259</v>
      </c>
    </row>
    <row r="178" spans="1:7" ht="12" customHeight="1" x14ac:dyDescent="0.2">
      <c r="A178" s="1768"/>
      <c r="B178" s="1788"/>
      <c r="C178" s="1783"/>
      <c r="D178" s="1784" t="str">
        <f>D78</f>
        <v>9 Month ADA from District Average Daily Attendance/Prior General State Aid Inquiry 2018-2019</v>
      </c>
      <c r="E178" s="1785"/>
      <c r="F178" s="1789">
        <f>'PCTC-OEPP 27-28'!F78</f>
        <v>0</v>
      </c>
      <c r="G178" s="930"/>
    </row>
    <row r="179" spans="1:7" ht="12" customHeight="1" thickBot="1" x14ac:dyDescent="0.25">
      <c r="A179" s="1768"/>
      <c r="B179" s="1788"/>
      <c r="C179" s="1783"/>
      <c r="D179" s="1784" t="s">
        <v>2053</v>
      </c>
      <c r="E179" s="1785" t="s">
        <v>1545</v>
      </c>
      <c r="F179" s="1790" t="e">
        <f>F177/F178</f>
        <v>#DIV/0!</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9" customFormat="1" ht="12.2" customHeight="1" x14ac:dyDescent="0.2">
      <c r="A182" s="1919" t="s">
        <v>1988</v>
      </c>
      <c r="B182" s="1920"/>
      <c r="C182" s="1921"/>
      <c r="D182" s="1920"/>
      <c r="E182" s="1921"/>
      <c r="F182" s="1920"/>
      <c r="G182" s="1920"/>
    </row>
    <row r="183" spans="1:7" s="1919" customFormat="1" ht="12.2" customHeight="1" x14ac:dyDescent="0.2">
      <c r="A183" s="1922" t="s">
        <v>1990</v>
      </c>
      <c r="C183" s="1921"/>
      <c r="D183" s="1920"/>
      <c r="E183" s="1921"/>
      <c r="F183" s="1920"/>
      <c r="G183" s="1920"/>
    </row>
    <row r="184" spans="1:7" ht="12" customHeight="1" x14ac:dyDescent="0.2">
      <c r="C184" s="949"/>
      <c r="D184" s="930"/>
      <c r="E184" s="949"/>
      <c r="F184" s="930"/>
      <c r="G184" s="930"/>
    </row>
    <row r="185" spans="1:7" x14ac:dyDescent="0.2">
      <c r="A185" s="1923" t="s">
        <v>1920</v>
      </c>
      <c r="B185" s="1924"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topLeftCell="A10" zoomScaleNormal="100" workbookViewId="0">
      <selection activeCell="A9" sqref="A9:G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1828</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80" t="s">
        <v>1814</v>
      </c>
      <c r="B4" s="2281"/>
      <c r="C4" s="2281"/>
      <c r="D4" s="2281"/>
      <c r="E4" s="2281"/>
      <c r="F4" s="2281"/>
      <c r="G4" s="2282"/>
    </row>
    <row r="5" spans="1:7" x14ac:dyDescent="0.25">
      <c r="A5" s="2283"/>
      <c r="B5" s="2284"/>
      <c r="C5" s="2284"/>
      <c r="D5" s="2284"/>
      <c r="E5" s="2284"/>
      <c r="F5" s="2284"/>
      <c r="G5" s="2285"/>
    </row>
    <row r="6" spans="1:7" ht="18.75" x14ac:dyDescent="0.25">
      <c r="A6" s="1932" t="s">
        <v>2060</v>
      </c>
      <c r="B6" s="1933"/>
      <c r="C6" s="1933"/>
      <c r="D6" s="1933"/>
      <c r="E6" s="1933"/>
      <c r="F6" s="1933"/>
      <c r="G6" s="1934"/>
    </row>
    <row r="7" spans="1:7" ht="18.75" x14ac:dyDescent="0.25">
      <c r="A7" s="1534" t="s">
        <v>1815</v>
      </c>
      <c r="B7" s="1535"/>
      <c r="C7" s="1535"/>
      <c r="D7" s="1535"/>
      <c r="E7" s="1535"/>
      <c r="F7" s="1535"/>
      <c r="G7" s="1536"/>
    </row>
    <row r="8" spans="1:7" ht="30.75" customHeight="1" x14ac:dyDescent="0.25">
      <c r="A8" s="2286" t="s">
        <v>1927</v>
      </c>
      <c r="B8" s="2287"/>
      <c r="C8" s="2287"/>
      <c r="D8" s="2287"/>
      <c r="E8" s="2287"/>
      <c r="F8" s="2287"/>
      <c r="G8" s="2288"/>
    </row>
    <row r="9" spans="1:7" ht="15.75" customHeight="1" x14ac:dyDescent="0.25">
      <c r="A9" s="2289" t="s">
        <v>1902</v>
      </c>
      <c r="B9" s="2290"/>
      <c r="C9" s="2290"/>
      <c r="D9" s="2290"/>
      <c r="E9" s="2290"/>
      <c r="F9" s="2290"/>
      <c r="G9" s="2291"/>
    </row>
    <row r="10" spans="1:7" ht="35.25" customHeight="1" x14ac:dyDescent="0.25">
      <c r="A10" s="2286" t="s">
        <v>2059</v>
      </c>
      <c r="B10" s="2287"/>
      <c r="C10" s="2287"/>
      <c r="D10" s="2287"/>
      <c r="E10" s="2287"/>
      <c r="F10" s="2287"/>
      <c r="G10" s="2288"/>
    </row>
    <row r="11" spans="1:7" ht="15" customHeight="1" x14ac:dyDescent="0.25">
      <c r="A11" s="1537" t="s">
        <v>1816</v>
      </c>
      <c r="B11" s="1538"/>
      <c r="C11" s="1538"/>
      <c r="D11" s="1538"/>
      <c r="E11" s="1538"/>
      <c r="F11" s="1538"/>
      <c r="G11" s="1539"/>
    </row>
    <row r="12" spans="1:7" ht="17.25" customHeight="1" x14ac:dyDescent="0.25">
      <c r="A12" s="2286" t="s">
        <v>1929</v>
      </c>
      <c r="B12" s="2287"/>
      <c r="C12" s="2287"/>
      <c r="D12" s="2287"/>
      <c r="E12" s="2287"/>
      <c r="F12" s="2287"/>
      <c r="G12" s="2288"/>
    </row>
    <row r="13" spans="1:7" ht="15" customHeight="1" x14ac:dyDescent="0.25">
      <c r="A13" s="1537" t="s">
        <v>1821</v>
      </c>
      <c r="B13" s="1538"/>
      <c r="C13" s="1538"/>
      <c r="D13" s="1538"/>
      <c r="E13" s="1538"/>
      <c r="F13" s="1538"/>
      <c r="G13" s="1539"/>
    </row>
    <row r="14" spans="1:7" ht="32.25" customHeight="1" x14ac:dyDescent="0.25">
      <c r="A14" s="2277" t="s">
        <v>1970</v>
      </c>
      <c r="B14" s="2278"/>
      <c r="C14" s="2278"/>
      <c r="D14" s="2278"/>
      <c r="E14" s="2278"/>
      <c r="F14" s="2278"/>
      <c r="G14" s="2279"/>
    </row>
    <row r="15" spans="1:7" x14ac:dyDescent="0.25">
      <c r="A15" s="1659" t="s">
        <v>1829</v>
      </c>
      <c r="B15" s="1660"/>
      <c r="C15" s="1660"/>
      <c r="D15" s="1660"/>
      <c r="E15" s="1660"/>
      <c r="F15" s="1660"/>
      <c r="G15" s="1661"/>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4" t="s">
        <v>2114</v>
      </c>
      <c r="B18" s="1945" t="s">
        <v>2111</v>
      </c>
      <c r="C18" s="1946" t="s">
        <v>2112</v>
      </c>
      <c r="D18" s="1841">
        <v>20438</v>
      </c>
      <c r="E18" s="1540">
        <f t="shared" ref="E18:E39" si="0">IF(D18&lt;=25000,D18,IF(D18&gt;25000,25000,0))</f>
        <v>20438</v>
      </c>
      <c r="F18" s="1931">
        <f t="shared" ref="F18:F2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20438</v>
      </c>
      <c r="G18" s="1791">
        <f>IF(F18=0,0,D18-F18)</f>
        <v>0</v>
      </c>
      <c r="H18" s="1647"/>
    </row>
    <row r="19" spans="1:8" x14ac:dyDescent="0.25">
      <c r="A19" s="1944" t="s">
        <v>2113</v>
      </c>
      <c r="B19" s="1945" t="s">
        <v>2116</v>
      </c>
      <c r="C19" s="1946" t="s">
        <v>2115</v>
      </c>
      <c r="D19" s="1947">
        <v>6077</v>
      </c>
      <c r="E19" s="1540">
        <f t="shared" ref="E19:E38" si="2">IF(D19&lt;=25000,D19,IF(D19&gt;25000,25000,0))</f>
        <v>6077</v>
      </c>
      <c r="F19" s="1931">
        <f t="shared" si="1"/>
        <v>6077</v>
      </c>
      <c r="G19" s="1791">
        <f t="shared" ref="G19:G38" si="3">IF(F19=0,0,D19-F19)</f>
        <v>0</v>
      </c>
    </row>
    <row r="20" spans="1:8" x14ac:dyDescent="0.25">
      <c r="A20" s="1944" t="s">
        <v>2117</v>
      </c>
      <c r="B20" s="1945" t="s">
        <v>2119</v>
      </c>
      <c r="C20" s="1946" t="s">
        <v>2118</v>
      </c>
      <c r="D20" s="1841">
        <v>19857</v>
      </c>
      <c r="E20" s="1540">
        <f t="shared" si="2"/>
        <v>19857</v>
      </c>
      <c r="F20" s="1931">
        <f t="shared" si="1"/>
        <v>19857</v>
      </c>
      <c r="G20" s="1791">
        <f t="shared" si="3"/>
        <v>0</v>
      </c>
    </row>
    <row r="21" spans="1:8" x14ac:dyDescent="0.25">
      <c r="A21" s="1944" t="s">
        <v>2120</v>
      </c>
      <c r="B21" s="1945" t="s">
        <v>2122</v>
      </c>
      <c r="C21" s="1946" t="s">
        <v>2121</v>
      </c>
      <c r="D21" s="1841">
        <v>22006</v>
      </c>
      <c r="E21" s="1540">
        <f t="shared" si="2"/>
        <v>22006</v>
      </c>
      <c r="F21" s="1931">
        <f t="shared" si="1"/>
        <v>22006</v>
      </c>
      <c r="G21" s="1791">
        <f t="shared" si="3"/>
        <v>0</v>
      </c>
    </row>
    <row r="22" spans="1:8" x14ac:dyDescent="0.25">
      <c r="A22" s="1944" t="s">
        <v>2120</v>
      </c>
      <c r="B22" s="1945" t="s">
        <v>2122</v>
      </c>
      <c r="C22" s="1946" t="s">
        <v>2123</v>
      </c>
      <c r="D22" s="1841">
        <v>4197</v>
      </c>
      <c r="E22" s="1540">
        <f t="shared" si="2"/>
        <v>4197</v>
      </c>
      <c r="F22" s="1931">
        <f t="shared" si="1"/>
        <v>4197</v>
      </c>
      <c r="G22" s="1791">
        <f t="shared" si="3"/>
        <v>0</v>
      </c>
    </row>
    <row r="23" spans="1:8" x14ac:dyDescent="0.25">
      <c r="A23" s="1944" t="s">
        <v>2124</v>
      </c>
      <c r="B23" s="1945" t="s">
        <v>2119</v>
      </c>
      <c r="C23" s="1946" t="s">
        <v>2125</v>
      </c>
      <c r="D23" s="1841">
        <v>53244</v>
      </c>
      <c r="E23" s="1540">
        <f t="shared" si="2"/>
        <v>25000</v>
      </c>
      <c r="F23" s="1931">
        <f t="shared" si="1"/>
        <v>25000</v>
      </c>
      <c r="G23" s="1791">
        <f t="shared" si="3"/>
        <v>28244</v>
      </c>
    </row>
    <row r="24" spans="1:8" x14ac:dyDescent="0.25">
      <c r="A24" s="1944" t="s">
        <v>2120</v>
      </c>
      <c r="B24" s="1945" t="s">
        <v>2122</v>
      </c>
      <c r="C24" s="1946" t="s">
        <v>2126</v>
      </c>
      <c r="D24" s="1841">
        <v>501</v>
      </c>
      <c r="E24" s="1540">
        <f t="shared" si="2"/>
        <v>501</v>
      </c>
      <c r="F24" s="1931">
        <f t="shared" si="1"/>
        <v>501</v>
      </c>
      <c r="G24" s="1791">
        <f t="shared" si="3"/>
        <v>0</v>
      </c>
    </row>
    <row r="25" spans="1:8" x14ac:dyDescent="0.25">
      <c r="A25" s="1944" t="s">
        <v>2124</v>
      </c>
      <c r="B25" s="1945" t="s">
        <v>2119</v>
      </c>
      <c r="C25" s="1946" t="s">
        <v>2126</v>
      </c>
      <c r="D25" s="1841">
        <v>11522</v>
      </c>
      <c r="E25" s="1540">
        <f t="shared" si="2"/>
        <v>11522</v>
      </c>
      <c r="F25" s="1931">
        <f t="shared" si="1"/>
        <v>11522</v>
      </c>
      <c r="G25" s="1791">
        <f t="shared" si="3"/>
        <v>0</v>
      </c>
    </row>
    <row r="26" spans="1:8" x14ac:dyDescent="0.25">
      <c r="A26" s="1944" t="s">
        <v>2120</v>
      </c>
      <c r="B26" s="1945" t="s">
        <v>2122</v>
      </c>
      <c r="C26" s="1946" t="s">
        <v>2127</v>
      </c>
      <c r="D26" s="1841">
        <v>12413</v>
      </c>
      <c r="E26" s="1540">
        <f t="shared" si="2"/>
        <v>12413</v>
      </c>
      <c r="F26" s="1931">
        <f t="shared" si="1"/>
        <v>12413</v>
      </c>
      <c r="G26" s="1791">
        <f t="shared" si="3"/>
        <v>0</v>
      </c>
    </row>
    <row r="27" spans="1:8" x14ac:dyDescent="0.25">
      <c r="A27" s="1944" t="s">
        <v>2128</v>
      </c>
      <c r="B27" s="1945" t="s">
        <v>2116</v>
      </c>
      <c r="C27" s="1946" t="s">
        <v>2127</v>
      </c>
      <c r="D27" s="1841">
        <v>3853</v>
      </c>
      <c r="E27" s="1540">
        <f t="shared" si="2"/>
        <v>3853</v>
      </c>
      <c r="F27" s="1931">
        <f t="shared" si="1"/>
        <v>3853</v>
      </c>
      <c r="G27" s="1791">
        <f t="shared" si="3"/>
        <v>0</v>
      </c>
    </row>
    <row r="28" spans="1:8" x14ac:dyDescent="0.25">
      <c r="A28" s="1944" t="s">
        <v>2124</v>
      </c>
      <c r="B28" s="1945" t="s">
        <v>2119</v>
      </c>
      <c r="C28" s="1946" t="s">
        <v>2127</v>
      </c>
      <c r="D28" s="1841">
        <v>13698</v>
      </c>
      <c r="E28" s="1540">
        <f t="shared" si="2"/>
        <v>13698</v>
      </c>
      <c r="F28" s="1931">
        <f t="shared" si="1"/>
        <v>13698</v>
      </c>
      <c r="G28" s="1791">
        <f t="shared" si="3"/>
        <v>0</v>
      </c>
    </row>
    <row r="29" spans="1:8" x14ac:dyDescent="0.25">
      <c r="A29" s="1653"/>
      <c r="B29" s="1665"/>
      <c r="C29" s="1654"/>
      <c r="D29" s="1841"/>
      <c r="E29" s="1540">
        <f t="shared" ref="E29" si="4">IF(D29&lt;=25000,D29,IF(D29&gt;25000,25000,0))</f>
        <v>0</v>
      </c>
      <c r="F29" s="1931">
        <f t="shared" ref="F29:F38" si="5">(IF(D29="",0,(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Check func/obj # in Colm B"))))</f>
        <v>0</v>
      </c>
      <c r="G29" s="1791">
        <f t="shared" ref="G29" si="6">IF(F29=0,0,D29-F29)</f>
        <v>0</v>
      </c>
    </row>
    <row r="30" spans="1:8" x14ac:dyDescent="0.25">
      <c r="A30" s="1653"/>
      <c r="B30" s="1665"/>
      <c r="C30" s="1654"/>
      <c r="D30" s="1841"/>
      <c r="E30" s="1540"/>
      <c r="F30" s="1931"/>
      <c r="G30" s="1791"/>
    </row>
    <row r="31" spans="1:8" x14ac:dyDescent="0.25">
      <c r="A31" s="1653"/>
      <c r="B31" s="1665"/>
      <c r="C31" s="1654"/>
      <c r="D31" s="1841"/>
      <c r="E31" s="1540"/>
      <c r="F31" s="1931"/>
      <c r="G31" s="1791"/>
    </row>
    <row r="32" spans="1:8" x14ac:dyDescent="0.25">
      <c r="A32" s="1653"/>
      <c r="B32" s="1665"/>
      <c r="C32" s="1654"/>
      <c r="D32" s="1841"/>
      <c r="E32" s="1540"/>
      <c r="F32" s="1931"/>
      <c r="G32" s="1791"/>
    </row>
    <row r="33" spans="1:7" x14ac:dyDescent="0.25">
      <c r="A33" s="1653"/>
      <c r="B33" s="1665"/>
      <c r="C33" s="1654"/>
      <c r="D33" s="1841"/>
      <c r="E33" s="1540">
        <f t="shared" ref="E33:E37" si="7">IF(D33&lt;=25000,D33,IF(D33&gt;25000,25000,0))</f>
        <v>0</v>
      </c>
      <c r="F33" s="1931">
        <f t="shared" si="5"/>
        <v>0</v>
      </c>
      <c r="G33" s="1791">
        <f t="shared" ref="G33:G37" si="8">IF(F33=0,0,D33-F33)</f>
        <v>0</v>
      </c>
    </row>
    <row r="34" spans="1:7" x14ac:dyDescent="0.25">
      <c r="A34" s="1653"/>
      <c r="B34" s="1665"/>
      <c r="C34" s="1654"/>
      <c r="D34" s="1841"/>
      <c r="E34" s="1540">
        <f t="shared" si="7"/>
        <v>0</v>
      </c>
      <c r="F34" s="1931">
        <f t="shared" si="5"/>
        <v>0</v>
      </c>
      <c r="G34" s="1791">
        <f t="shared" si="8"/>
        <v>0</v>
      </c>
    </row>
    <row r="35" spans="1:7" x14ac:dyDescent="0.25">
      <c r="A35" s="1653"/>
      <c r="B35" s="1665"/>
      <c r="C35" s="1654"/>
      <c r="D35" s="1841"/>
      <c r="E35" s="1540">
        <f t="shared" si="7"/>
        <v>0</v>
      </c>
      <c r="F35" s="1931">
        <f t="shared" si="5"/>
        <v>0</v>
      </c>
      <c r="G35" s="1791">
        <f t="shared" si="8"/>
        <v>0</v>
      </c>
    </row>
    <row r="36" spans="1:7" x14ac:dyDescent="0.25">
      <c r="A36" s="1653"/>
      <c r="B36" s="1665"/>
      <c r="C36" s="1654"/>
      <c r="D36" s="1841"/>
      <c r="E36" s="1540">
        <f t="shared" si="7"/>
        <v>0</v>
      </c>
      <c r="F36" s="1931">
        <f t="shared" si="5"/>
        <v>0</v>
      </c>
      <c r="G36" s="1791">
        <f t="shared" si="8"/>
        <v>0</v>
      </c>
    </row>
    <row r="37" spans="1:7" x14ac:dyDescent="0.25">
      <c r="A37" s="1653"/>
      <c r="B37" s="1665"/>
      <c r="C37" s="1654"/>
      <c r="D37" s="1841"/>
      <c r="E37" s="1540">
        <f t="shared" si="7"/>
        <v>0</v>
      </c>
      <c r="F37" s="1931">
        <f t="shared" si="5"/>
        <v>0</v>
      </c>
      <c r="G37" s="1791">
        <f t="shared" si="8"/>
        <v>0</v>
      </c>
    </row>
    <row r="38" spans="1:7" x14ac:dyDescent="0.25">
      <c r="A38" s="1653"/>
      <c r="B38" s="1664"/>
      <c r="C38" s="1654"/>
      <c r="D38" s="1841"/>
      <c r="E38" s="1540">
        <f t="shared" si="2"/>
        <v>0</v>
      </c>
      <c r="F38" s="1931">
        <f t="shared" si="5"/>
        <v>0</v>
      </c>
      <c r="G38" s="1791">
        <f t="shared" si="3"/>
        <v>0</v>
      </c>
    </row>
    <row r="39" spans="1:7" x14ac:dyDescent="0.25">
      <c r="A39" s="1794" t="s">
        <v>156</v>
      </c>
      <c r="B39" s="1795"/>
      <c r="C39" s="1796"/>
      <c r="D39" s="1792">
        <f>SUM(D18:D38)</f>
        <v>167806</v>
      </c>
      <c r="E39" s="1541">
        <f t="shared" si="0"/>
        <v>25000</v>
      </c>
      <c r="F39" s="1929">
        <f>SUM(F18:F38)</f>
        <v>139562</v>
      </c>
      <c r="G39" s="1793">
        <f>SUM(G18:G38)</f>
        <v>28244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&amp;LPage 22&amp;RPage 22</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9" sqref="C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2" t="s">
        <v>1679</v>
      </c>
      <c r="B5" s="2293"/>
      <c r="C5" s="2293"/>
      <c r="D5" s="2293"/>
      <c r="E5" s="2293"/>
      <c r="F5" s="2293"/>
      <c r="G5" s="229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297" t="s">
        <v>1971</v>
      </c>
      <c r="B11" s="2298"/>
      <c r="C11" s="2298"/>
      <c r="D11" s="229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1562194</v>
      </c>
      <c r="F19" s="1797"/>
      <c r="G19" s="1799">
        <f>'Expenditures 15-22'!K33-SUM('Expenditures 15-22'!G33,'Expenditures 15-22'!I33)+'Expenditures 15-22'!D229</f>
        <v>1562194</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1808570</v>
      </c>
      <c r="F21" s="1800"/>
      <c r="G21" s="1803">
        <f>'Expenditures 15-22'!K42-SUM('Expenditures 15-22'!G42,'Expenditures 15-22'!I42)+'Expenditures 15-22'!K120-SUM('Expenditures 15-22'!G120,'Expenditures 15-22'!I120)+'Expenditures 15-22'!K180-SUM('Expenditures 15-22'!G180,'Expenditures 15-22'!I180)+'Expenditures 15-22'!D238</f>
        <v>1808570</v>
      </c>
      <c r="H21" s="987"/>
      <c r="I21" s="162"/>
    </row>
    <row r="22" spans="1:9" s="668" customFormat="1" ht="12" customHeight="1" x14ac:dyDescent="0.2">
      <c r="A22" s="994" t="s">
        <v>564</v>
      </c>
      <c r="B22" s="995"/>
      <c r="C22" s="993">
        <v>2200</v>
      </c>
      <c r="D22" s="1800"/>
      <c r="E22" s="1802">
        <f>'Expenditures 15-22'!K47-SUM('Expenditures 15-22'!G47,'Expenditures 15-22'!I47)+'Expenditures 15-22'!D243</f>
        <v>332463</v>
      </c>
      <c r="F22" s="1800"/>
      <c r="G22" s="1803">
        <f>'Expenditures 15-22'!K47-SUM('Expenditures 15-22'!G47,'Expenditures 15-22'!I47)+'Expenditures 15-22'!D243</f>
        <v>332463</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1226500</v>
      </c>
      <c r="F23" s="1800"/>
      <c r="G23" s="1802">
        <f>'Expenditures 15-22'!K53-SUM('Expenditures 15-22'!G53,'Expenditures 15-22'!I53)+'Expenditures 15-22'!D257+'Expenditures 15-22'!K330-SUM('Expenditures 15-22'!G330,'Expenditures 15-22'!I330)</f>
        <v>1226500</v>
      </c>
      <c r="H23" s="987"/>
      <c r="I23" s="162"/>
    </row>
    <row r="24" spans="1:9" s="668" customFormat="1" ht="12" customHeight="1" x14ac:dyDescent="0.2">
      <c r="A24" s="994" t="s">
        <v>566</v>
      </c>
      <c r="B24" s="995"/>
      <c r="C24" s="993">
        <v>2400</v>
      </c>
      <c r="D24" s="1800"/>
      <c r="E24" s="1802">
        <f>'Expenditures 15-22'!K57-SUM('Expenditures 15-22'!G57,'Expenditures 15-22'!I57)+'Expenditures 15-22'!D261</f>
        <v>0</v>
      </c>
      <c r="F24" s="1800"/>
      <c r="G24" s="1803">
        <f>'Expenditures 15-22'!K57-SUM('Expenditures 15-22'!G57,'Expenditures 15-22'!I57)+'Expenditures 15-22'!D261</f>
        <v>0</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115794</v>
      </c>
      <c r="E27" s="1802">
        <f>E8</f>
        <v>0</v>
      </c>
      <c r="F27" s="1802">
        <f>'Expenditures 15-22'!K60-SUM('Expenditures 15-22'!G60,'Expenditures 15-22'!I60)+'Expenditures 15-22'!D264-E8</f>
        <v>115794</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108669</v>
      </c>
      <c r="F28" s="1804">
        <f>'Expenditures 15-22'!K61-SUM('Expenditures 15-22'!G61,'Expenditures 15-22'!I61)+'Expenditures 15-22'!K124-SUM('Expenditures 15-22'!G124,'Expenditures 15-22'!I124)+'Expenditures 15-22'!D266-E9</f>
        <v>108669</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0</v>
      </c>
      <c r="F29" s="1800"/>
      <c r="G29" s="1803">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0"/>
      <c r="E30" s="1802">
        <f>'Expenditures 15-22'!K63-SUM('Expenditures 15-22'!G63,'Expenditures 15-22'!I63)+'Expenditures 15-22'!D268-E10</f>
        <v>0</v>
      </c>
      <c r="F30" s="1800"/>
      <c r="G30" s="1802">
        <f>'Expenditures 15-22'!K63-SUM('Expenditures 15-22'!G63,'Expenditures 15-22'!I63)+'Expenditures 15-22'!D268-E10</f>
        <v>0</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0"/>
      <c r="E40" s="1804">
        <f>-'Contracts Paid in CY 29'!G39</f>
        <v>-28244</v>
      </c>
      <c r="F40" s="1800"/>
      <c r="G40" s="1804">
        <f>-'Contracts Paid in CY 29'!G39</f>
        <v>-28244</v>
      </c>
    </row>
    <row r="41" spans="1:7" ht="12" customHeight="1" x14ac:dyDescent="0.2">
      <c r="A41" s="998" t="s">
        <v>156</v>
      </c>
      <c r="B41" s="999"/>
      <c r="C41" s="1000"/>
      <c r="D41" s="1804">
        <f>SUM(D19:D39)</f>
        <v>115794</v>
      </c>
      <c r="E41" s="1804">
        <f>SUM(E19:E40)</f>
        <v>5010152</v>
      </c>
      <c r="F41" s="1804">
        <f>SUM(F19:F39)</f>
        <v>224463</v>
      </c>
      <c r="G41" s="1804">
        <f>SUM(G19:G40)</f>
        <v>4901483</v>
      </c>
    </row>
    <row r="42" spans="1:7" x14ac:dyDescent="0.2">
      <c r="A42" s="987"/>
      <c r="B42" s="162"/>
      <c r="C42" s="1001"/>
      <c r="D42" s="2295" t="s">
        <v>522</v>
      </c>
      <c r="E42" s="2296"/>
      <c r="F42" s="1002" t="s">
        <v>523</v>
      </c>
      <c r="G42" s="1003"/>
    </row>
    <row r="43" spans="1:7" ht="12" customHeight="1" x14ac:dyDescent="0.2">
      <c r="A43" s="987"/>
      <c r="B43" s="162"/>
      <c r="C43" s="1001"/>
      <c r="D43" s="1805" t="s">
        <v>473</v>
      </c>
      <c r="E43" s="1806">
        <f>D41</f>
        <v>115794</v>
      </c>
      <c r="F43" s="1805" t="s">
        <v>473</v>
      </c>
      <c r="G43" s="1806">
        <f>F41</f>
        <v>224463</v>
      </c>
    </row>
    <row r="44" spans="1:7" ht="12" customHeight="1" x14ac:dyDescent="0.2">
      <c r="A44" s="987"/>
      <c r="B44" s="162"/>
      <c r="C44" s="1001"/>
      <c r="D44" s="1805" t="s">
        <v>474</v>
      </c>
      <c r="E44" s="1806">
        <f>E41</f>
        <v>5010152</v>
      </c>
      <c r="F44" s="1805" t="s">
        <v>474</v>
      </c>
      <c r="G44" s="1806">
        <f>G41</f>
        <v>4901483</v>
      </c>
    </row>
    <row r="45" spans="1:7" ht="12" customHeight="1" x14ac:dyDescent="0.2">
      <c r="A45" s="987"/>
      <c r="B45" s="162"/>
      <c r="C45" s="162"/>
      <c r="D45" s="1807" t="s">
        <v>1006</v>
      </c>
      <c r="E45" s="1808">
        <f>(E43/E44)</f>
        <v>2.3111873651737513E-2</v>
      </c>
      <c r="F45" s="1807" t="s">
        <v>1006</v>
      </c>
      <c r="G45" s="1808">
        <f>(G43/G44)</f>
        <v>4.5794915538827738E-2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23"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C9" sqref="C9"/>
      <selection pane="bottomLeft" activeCell="C9" sqref="C9"/>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4" t="s">
        <v>1379</v>
      </c>
      <c r="B1" s="2314"/>
      <c r="C1" s="2314"/>
      <c r="D1" s="2314"/>
      <c r="E1" s="2314"/>
      <c r="F1" s="2314"/>
    </row>
    <row r="2" spans="1:10" x14ac:dyDescent="0.2">
      <c r="A2" s="1884" t="s">
        <v>1907</v>
      </c>
      <c r="B2" s="1845"/>
      <c r="C2" s="1884"/>
      <c r="D2" s="1845"/>
      <c r="E2" s="1845"/>
      <c r="F2" s="1846"/>
    </row>
    <row r="3" spans="1:10" x14ac:dyDescent="0.2">
      <c r="A3" s="1884" t="s">
        <v>1972</v>
      </c>
      <c r="B3" s="1845"/>
      <c r="C3" s="1884"/>
      <c r="D3" s="1845"/>
      <c r="E3" s="1845"/>
      <c r="F3" s="1846"/>
    </row>
    <row r="4" spans="1:10" ht="3.75" customHeight="1" x14ac:dyDescent="0.2">
      <c r="A4" s="1845"/>
      <c r="B4" s="1845"/>
      <c r="C4" s="1845"/>
      <c r="D4" s="1845"/>
      <c r="E4" s="1845"/>
      <c r="F4" s="1846"/>
    </row>
    <row r="5" spans="1:10" ht="15" x14ac:dyDescent="0.25">
      <c r="A5" s="2315" t="s">
        <v>1546</v>
      </c>
      <c r="B5" s="2316"/>
      <c r="C5" s="2317"/>
      <c r="D5" s="2317"/>
      <c r="E5" s="2317"/>
      <c r="F5" s="2317"/>
    </row>
    <row r="6" spans="1:10" ht="12" customHeight="1" x14ac:dyDescent="0.25">
      <c r="A6" s="1847"/>
      <c r="B6" s="1848"/>
      <c r="C6" s="2318" t="str">
        <f>COVER!A17</f>
        <v>Franklin Jefferson Co Sp Ed Dist</v>
      </c>
      <c r="D6" s="2318"/>
      <c r="E6" s="2318"/>
      <c r="F6" s="1849"/>
    </row>
    <row r="7" spans="1:10" ht="11.25" customHeight="1" thickBot="1" x14ac:dyDescent="0.3">
      <c r="A7" s="1847"/>
      <c r="B7" s="1848"/>
      <c r="C7" s="2319">
        <f>COVER!A13</f>
        <v>13041801060</v>
      </c>
      <c r="D7" s="2319"/>
      <c r="E7" s="2319"/>
      <c r="F7" s="1849"/>
    </row>
    <row r="8" spans="1:10" ht="25.5" customHeight="1" thickBot="1" x14ac:dyDescent="0.25">
      <c r="A8" s="1890" t="s">
        <v>1903</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2061</v>
      </c>
      <c r="D16" s="1862" t="s">
        <v>2061</v>
      </c>
      <c r="E16" s="1865" t="s">
        <v>2061</v>
      </c>
      <c r="F16" s="1864" t="s">
        <v>2129</v>
      </c>
      <c r="H16" s="1875">
        <f t="shared" si="0"/>
        <v>5</v>
      </c>
      <c r="I16" s="1875">
        <f t="shared" si="1"/>
        <v>5</v>
      </c>
      <c r="J16" s="1875">
        <f t="shared" si="2"/>
        <v>5</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2061</v>
      </c>
      <c r="D24" s="1862" t="s">
        <v>2061</v>
      </c>
      <c r="E24" s="1865" t="s">
        <v>2061</v>
      </c>
      <c r="F24" s="1864" t="s">
        <v>2130</v>
      </c>
      <c r="H24" s="1875">
        <f t="shared" si="0"/>
        <v>5</v>
      </c>
      <c r="I24" s="1875">
        <f t="shared" si="1"/>
        <v>5</v>
      </c>
      <c r="J24" s="1875">
        <f t="shared" si="2"/>
        <v>5</v>
      </c>
    </row>
    <row r="25" spans="1:12" ht="12" customHeight="1" x14ac:dyDescent="0.2">
      <c r="A25" s="1860" t="s">
        <v>1533</v>
      </c>
      <c r="B25" s="1861"/>
      <c r="C25" s="1862" t="s">
        <v>2061</v>
      </c>
      <c r="D25" s="1862" t="s">
        <v>2061</v>
      </c>
      <c r="E25" s="1865" t="s">
        <v>2061</v>
      </c>
      <c r="F25" s="1864" t="s">
        <v>2131</v>
      </c>
      <c r="H25" s="1875">
        <f t="shared" si="0"/>
        <v>5</v>
      </c>
      <c r="I25" s="1875">
        <f t="shared" si="1"/>
        <v>5</v>
      </c>
      <c r="J25" s="1875">
        <f t="shared" si="2"/>
        <v>5</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15</v>
      </c>
      <c r="J34" s="1875">
        <f>SUM(J11:J32)</f>
        <v>15</v>
      </c>
      <c r="K34" s="1875">
        <f>SUM(H34:J34)</f>
        <v>45</v>
      </c>
    </row>
    <row r="35" spans="1:11" ht="12" customHeight="1" x14ac:dyDescent="0.2">
      <c r="A35" s="1868" t="s">
        <v>1392</v>
      </c>
      <c r="B35" s="1869"/>
      <c r="C35" s="2320"/>
      <c r="D35" s="2320"/>
      <c r="E35" s="2320"/>
      <c r="F35" s="2321"/>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06"/>
      <c r="B38" s="2307"/>
      <c r="C38" s="2307"/>
      <c r="D38" s="2307"/>
      <c r="E38" s="2307"/>
      <c r="F38" s="2308"/>
    </row>
    <row r="39" spans="1:11" ht="4.5" hidden="1" customHeight="1" x14ac:dyDescent="0.2">
      <c r="A39" s="1870"/>
      <c r="B39" s="1870"/>
      <c r="C39" s="1870"/>
      <c r="D39" s="1870"/>
      <c r="E39" s="1870"/>
      <c r="F39" s="1870"/>
    </row>
    <row r="40" spans="1:11" s="1867" customFormat="1" ht="12" customHeight="1" x14ac:dyDescent="0.25">
      <c r="A40" s="1871" t="s">
        <v>1391</v>
      </c>
      <c r="B40" s="1872"/>
      <c r="C40" s="2309"/>
      <c r="D40" s="2309"/>
      <c r="E40" s="2309"/>
      <c r="F40" s="2310"/>
      <c r="H40" s="1876"/>
      <c r="I40" s="1876"/>
      <c r="J40" s="1876"/>
      <c r="K40" s="1876"/>
    </row>
    <row r="41" spans="1:11" s="1867" customFormat="1" ht="12" customHeight="1" x14ac:dyDescent="0.25">
      <c r="A41" s="2311"/>
      <c r="B41" s="2312"/>
      <c r="C41" s="2312"/>
      <c r="D41" s="2312"/>
      <c r="E41" s="2312"/>
      <c r="F41" s="2313"/>
      <c r="H41" s="1876"/>
      <c r="I41" s="1876"/>
      <c r="J41" s="1876"/>
      <c r="K41" s="1876"/>
    </row>
    <row r="42" spans="1:11" s="1867" customFormat="1" ht="12" customHeight="1" x14ac:dyDescent="0.25">
      <c r="A42" s="2311"/>
      <c r="B42" s="2312"/>
      <c r="C42" s="2312"/>
      <c r="D42" s="2312"/>
      <c r="E42" s="2312"/>
      <c r="F42" s="2313"/>
      <c r="H42" s="1876"/>
      <c r="I42" s="1876"/>
      <c r="J42" s="1876"/>
      <c r="K42" s="1876"/>
    </row>
    <row r="43" spans="1:11" s="1867" customFormat="1" ht="15" x14ac:dyDescent="0.25">
      <c r="A43" s="2300"/>
      <c r="B43" s="2301"/>
      <c r="C43" s="2301"/>
      <c r="D43" s="2301"/>
      <c r="E43" s="2301"/>
      <c r="F43" s="2302"/>
      <c r="H43" s="1876"/>
      <c r="I43" s="1876"/>
      <c r="J43" s="1876"/>
      <c r="K43" s="1876"/>
    </row>
    <row r="44" spans="1:11" s="1867" customFormat="1" ht="12" hidden="1" customHeight="1" x14ac:dyDescent="0.25">
      <c r="A44" s="2300"/>
      <c r="B44" s="2301"/>
      <c r="C44" s="2301"/>
      <c r="D44" s="2301"/>
      <c r="E44" s="2301"/>
      <c r="F44" s="230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4294967293" verticalDpi="4294967293" r:id="rId1"/>
  <headerFooter>
    <oddFooter>&amp;CPage 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40" sqref="T40:AA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27" t="str">
        <f>COVER!A17</f>
        <v>Franklin Jefferson Co Sp Ed Dist</v>
      </c>
      <c r="J6" s="2328"/>
      <c r="Q6" s="1662"/>
    </row>
    <row r="7" spans="1:17" x14ac:dyDescent="0.2">
      <c r="A7" s="2329" t="s">
        <v>869</v>
      </c>
      <c r="B7" s="2330"/>
      <c r="C7" s="2330"/>
      <c r="D7" s="2330"/>
      <c r="E7" s="2331"/>
      <c r="F7" s="1017"/>
      <c r="G7" s="1009"/>
      <c r="H7" s="1016" t="s">
        <v>372</v>
      </c>
      <c r="I7" s="2332">
        <f>COVER!A13</f>
        <v>13041801060</v>
      </c>
      <c r="J7" s="233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1973</v>
      </c>
      <c r="F9" s="1023"/>
      <c r="G9" s="1023"/>
      <c r="H9" s="1893" t="s">
        <v>1974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3" t="s">
        <v>481</v>
      </c>
      <c r="B11" s="2334"/>
      <c r="C11" s="233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1213419</v>
      </c>
      <c r="F12" s="1039"/>
      <c r="G12" s="1809">
        <f t="shared" ref="G12:G18" si="0">SUM(E12:F12)</f>
        <v>1213419</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36" t="s">
        <v>7</v>
      </c>
      <c r="C18" s="2337"/>
      <c r="D18" s="2338"/>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1213419</v>
      </c>
      <c r="F19" s="1811">
        <f t="shared" si="2"/>
        <v>0</v>
      </c>
      <c r="G19" s="1811">
        <f t="shared" si="2"/>
        <v>1213419</v>
      </c>
      <c r="H19" s="1811">
        <f t="shared" si="2"/>
        <v>0</v>
      </c>
      <c r="I19" s="1811">
        <f t="shared" si="2"/>
        <v>0</v>
      </c>
      <c r="J19" s="1811">
        <f t="shared" si="2"/>
        <v>0</v>
      </c>
    </row>
    <row r="20" spans="1:10" ht="13.5" thickTop="1" x14ac:dyDescent="0.2">
      <c r="A20" s="1035">
        <v>9</v>
      </c>
      <c r="B20" s="2339" t="s">
        <v>1975</v>
      </c>
      <c r="C20" s="2339"/>
      <c r="D20" s="2340"/>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5"/>
      <c r="D26" s="2345"/>
      <c r="E26" s="1050"/>
      <c r="F26" s="2344"/>
      <c r="G26" s="2344"/>
    </row>
    <row r="27" spans="1:10" x14ac:dyDescent="0.2">
      <c r="B27" s="1047"/>
      <c r="C27" s="1051" t="s">
        <v>1033</v>
      </c>
      <c r="D27" s="1052"/>
      <c r="E27" s="1053"/>
      <c r="F27" s="2341" t="s">
        <v>1509</v>
      </c>
      <c r="G27" s="2341"/>
    </row>
    <row r="28" spans="1:10" ht="28.5" customHeight="1" x14ac:dyDescent="0.2">
      <c r="B28" s="1047"/>
      <c r="C28" s="2343"/>
      <c r="D28" s="2343"/>
      <c r="E28" s="1054"/>
      <c r="F28" s="2343"/>
      <c r="G28" s="2343"/>
    </row>
    <row r="29" spans="1:10" x14ac:dyDescent="0.2">
      <c r="B29" s="1047"/>
      <c r="C29" s="1055" t="s">
        <v>1561</v>
      </c>
      <c r="E29" s="1056"/>
      <c r="F29" s="2342" t="s">
        <v>1510</v>
      </c>
      <c r="G29" s="234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4" t="s">
        <v>132</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2"/>
    </row>
    <row r="36" spans="1:10" ht="13.5" customHeight="1" x14ac:dyDescent="0.2">
      <c r="B36" s="1061"/>
      <c r="C36" s="2326" t="s">
        <v>1977</v>
      </c>
      <c r="D36" s="2325"/>
      <c r="E36" s="2325"/>
      <c r="F36" s="2325"/>
      <c r="G36" s="2325"/>
      <c r="H36" s="2325"/>
      <c r="I36" s="2325"/>
      <c r="J36" s="1063"/>
    </row>
    <row r="37" spans="1:10" ht="22.5" customHeight="1" x14ac:dyDescent="0.2">
      <c r="C37" s="2325"/>
      <c r="D37" s="2325"/>
      <c r="E37" s="2325"/>
      <c r="F37" s="2325"/>
      <c r="G37" s="2325"/>
      <c r="H37" s="2325"/>
      <c r="I37" s="2325"/>
      <c r="J37" s="1063"/>
    </row>
    <row r="38" spans="1:10" ht="7.5" customHeight="1" x14ac:dyDescent="0.2">
      <c r="C38" s="1062"/>
      <c r="D38" s="1064"/>
      <c r="E38" s="1065"/>
      <c r="F38" s="1066"/>
      <c r="G38" s="1065"/>
    </row>
    <row r="39" spans="1:10" ht="13.5" customHeight="1" x14ac:dyDescent="0.2">
      <c r="B39" s="1061"/>
      <c r="C39" s="2322" t="s">
        <v>882</v>
      </c>
      <c r="D39" s="2323"/>
      <c r="E39" s="2323"/>
      <c r="F39" s="2323"/>
      <c r="G39" s="2323"/>
      <c r="H39" s="2323"/>
      <c r="I39" s="232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71" zoomScaleNormal="71" workbookViewId="0">
      <selection activeCell="C9" sqref="C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2093</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Franklin Jefferson Co Sp Ed Dist</v>
      </c>
    </row>
    <row r="65" spans="2:2" x14ac:dyDescent="0.2">
      <c r="B65" s="1070">
        <f>COVER!A13</f>
        <v>13041801060</v>
      </c>
    </row>
  </sheetData>
  <phoneticPr fontId="14" type="noConversion"/>
  <pageMargins left="0.2" right="0.2" top="1.17" bottom="0.75" header="0.19" footer="0.16"/>
  <pageSetup scale="80" firstPageNumber="32" orientation="portrait" useFirstPageNumber="1" horizontalDpi="4294967293" verticalDpi="4294967293" r:id="rId1"/>
  <headerFooter alignWithMargins="0">
    <oddHeader>&amp;LPage 25&amp;C &amp;RPage 25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2" sqref="A42:E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4" t="s">
        <v>1611</v>
      </c>
    </row>
    <row r="23" spans="1:5" x14ac:dyDescent="0.2">
      <c r="A23" s="168"/>
      <c r="B23" s="162" t="s">
        <v>1852</v>
      </c>
      <c r="D23" s="167" t="s">
        <v>637</v>
      </c>
      <c r="E23" s="1834"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3" t="s">
        <v>1065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691</v>
      </c>
      <c r="B40" s="2060"/>
      <c r="C40" s="2060"/>
      <c r="D40" s="2060"/>
      <c r="E40" s="2060"/>
    </row>
    <row r="41" spans="1:5" x14ac:dyDescent="0.2">
      <c r="A41" s="2061" t="s">
        <v>1608</v>
      </c>
      <c r="B41" s="2061"/>
      <c r="C41" s="2061"/>
      <c r="D41" s="2061"/>
      <c r="E41" s="2061"/>
    </row>
    <row r="42" spans="1:5" ht="12.75" customHeight="1" x14ac:dyDescent="0.2">
      <c r="A42" s="2062" t="s">
        <v>1022</v>
      </c>
      <c r="B42" s="2062"/>
      <c r="C42" s="2062"/>
      <c r="D42" s="2062"/>
      <c r="E42" s="2062"/>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9" sqref="C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4294967293" verticalDpi="4294967293" r:id="rId1"/>
  <headerFooter alignWithMargins="0">
    <oddHeader>&amp;LPage 26&amp;RPage 26</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6" t="s">
        <v>1685</v>
      </c>
      <c r="B18" s="234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19050</xdr:colOff>
                <xdr:row>1</xdr:row>
                <xdr:rowOff>28575</xdr:rowOff>
              </from>
              <to>
                <xdr:col>1</xdr:col>
                <xdr:colOff>933450</xdr:colOff>
                <xdr:row>5</xdr:row>
                <xdr:rowOff>66675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1038225</xdr:colOff>
                <xdr:row>1</xdr:row>
                <xdr:rowOff>38100</xdr:rowOff>
              </from>
              <to>
                <xdr:col>1</xdr:col>
                <xdr:colOff>1952625</xdr:colOff>
                <xdr:row>5</xdr:row>
                <xdr:rowOff>76200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2066925</xdr:colOff>
                <xdr:row>1</xdr:row>
                <xdr:rowOff>57150</xdr:rowOff>
              </from>
              <to>
                <xdr:col>1</xdr:col>
                <xdr:colOff>2981325</xdr:colOff>
                <xdr:row>5</xdr:row>
                <xdr:rowOff>95250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38100</xdr:colOff>
                <xdr:row>6</xdr:row>
                <xdr:rowOff>0</xdr:rowOff>
              </from>
              <to>
                <xdr:col>1</xdr:col>
                <xdr:colOff>952500</xdr:colOff>
                <xdr:row>10</xdr:row>
                <xdr:rowOff>38100</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1057275</xdr:colOff>
                <xdr:row>6</xdr:row>
                <xdr:rowOff>9525</xdr:rowOff>
              </from>
              <to>
                <xdr:col>1</xdr:col>
                <xdr:colOff>1971675</xdr:colOff>
                <xdr:row>10</xdr:row>
                <xdr:rowOff>47625</xdr:rowOff>
              </to>
            </anchor>
          </objectPr>
        </oleObject>
      </mc:Choice>
      <mc:Fallback>
        <oleObject progId="Acrobat Document" dvAspect="DVASPECT_ICON" shapeId="36869"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1690</v>
      </c>
      <c r="B1" s="2348"/>
      <c r="C1" s="2348"/>
      <c r="D1" s="2348"/>
      <c r="E1" s="2348"/>
      <c r="F1" s="2349"/>
    </row>
    <row r="2" spans="1:8" ht="45" customHeight="1" x14ac:dyDescent="0.2">
      <c r="A2" s="2357" t="s">
        <v>1981</v>
      </c>
      <c r="B2" s="2358"/>
      <c r="C2" s="2358"/>
      <c r="D2" s="2358"/>
      <c r="E2" s="2358"/>
      <c r="F2" s="2359"/>
      <c r="G2" s="1074"/>
      <c r="H2" s="1074"/>
    </row>
    <row r="3" spans="1:8" ht="57" customHeight="1" x14ac:dyDescent="0.2">
      <c r="A3" s="2360" t="s">
        <v>1686</v>
      </c>
      <c r="B3" s="2361"/>
      <c r="C3" s="2361"/>
      <c r="D3" s="2361"/>
      <c r="E3" s="2361"/>
      <c r="F3" s="2362"/>
      <c r="G3" s="1074"/>
      <c r="H3" s="1074"/>
    </row>
    <row r="4" spans="1:8" ht="14.25" customHeight="1" x14ac:dyDescent="0.2">
      <c r="A4" s="2366" t="s">
        <v>1982</v>
      </c>
      <c r="B4" s="2367"/>
      <c r="C4" s="2367"/>
      <c r="D4" s="2367"/>
      <c r="E4" s="2367"/>
      <c r="F4" s="2368"/>
      <c r="G4" s="1074"/>
      <c r="H4" s="1074"/>
    </row>
    <row r="5" spans="1:8" ht="14.25" customHeight="1" x14ac:dyDescent="0.2">
      <c r="A5" s="2369" t="s">
        <v>1978</v>
      </c>
      <c r="B5" s="2370"/>
      <c r="C5" s="2370"/>
      <c r="D5" s="2370"/>
      <c r="E5" s="2370"/>
      <c r="F5" s="2371"/>
      <c r="G5" s="1074"/>
      <c r="H5" s="1074"/>
    </row>
    <row r="6" spans="1:8" s="1075" customFormat="1" ht="41.25" customHeight="1" x14ac:dyDescent="0.2">
      <c r="A6" s="2363" t="s">
        <v>1691</v>
      </c>
      <c r="B6" s="2364"/>
      <c r="C6" s="2364"/>
      <c r="D6" s="2364"/>
      <c r="E6" s="2364"/>
      <c r="F6" s="236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6309667</v>
      </c>
      <c r="C8" s="1813">
        <f>'Acct Summary 7-8'!D8</f>
        <v>9270</v>
      </c>
      <c r="D8" s="1813">
        <f>'Acct Summary 7-8'!F8</f>
        <v>0</v>
      </c>
      <c r="E8" s="1813">
        <f>'Acct Summary 7-8'!I8</f>
        <v>0</v>
      </c>
      <c r="F8" s="1813">
        <f>SUM(B8:E8)</f>
        <v>6318937</v>
      </c>
    </row>
    <row r="9" spans="1:8" s="1079" customFormat="1" ht="14.25" customHeight="1" thickBot="1" x14ac:dyDescent="0.25">
      <c r="A9" s="1078" t="s">
        <v>1369</v>
      </c>
      <c r="B9" s="1814">
        <f>'Acct Summary 7-8'!C17</f>
        <v>5895904</v>
      </c>
      <c r="C9" s="1814">
        <f>'Acct Summary 7-8'!D17</f>
        <v>1345</v>
      </c>
      <c r="D9" s="1814">
        <f>'Acct Summary 7-8'!F17</f>
        <v>0</v>
      </c>
      <c r="E9" s="1813"/>
      <c r="F9" s="1813">
        <f>SUM(B9:E9)</f>
        <v>5897249</v>
      </c>
    </row>
    <row r="10" spans="1:8" s="1079" customFormat="1" ht="14.25" thickTop="1" thickBot="1" x14ac:dyDescent="0.25">
      <c r="A10" s="1080" t="s">
        <v>1370</v>
      </c>
      <c r="B10" s="1815">
        <f>(B8-B9)</f>
        <v>413763</v>
      </c>
      <c r="C10" s="1815">
        <f>(C8-C9)</f>
        <v>7925</v>
      </c>
      <c r="D10" s="1815">
        <f>(D8-D9)</f>
        <v>0</v>
      </c>
      <c r="E10" s="1814">
        <f>(E8-E9)</f>
        <v>0</v>
      </c>
      <c r="F10" s="1816">
        <f>SUM(F8-F9)</f>
        <v>421688</v>
      </c>
    </row>
    <row r="11" spans="1:8" s="1079" customFormat="1" ht="14.25" thickTop="1" thickBot="1" x14ac:dyDescent="0.25">
      <c r="A11" s="1081" t="s">
        <v>1979</v>
      </c>
      <c r="B11" s="1817">
        <f>'Acct Summary 7-8'!C81</f>
        <v>1438894</v>
      </c>
      <c r="C11" s="1817">
        <f>'Acct Summary 7-8'!D81</f>
        <v>76886</v>
      </c>
      <c r="D11" s="1817">
        <f>'Acct Summary 7-8'!F81</f>
        <v>0</v>
      </c>
      <c r="E11" s="1817">
        <f>'Acct Summary 7-8'!I81</f>
        <v>0</v>
      </c>
      <c r="F11" s="1818">
        <f>SUM(B11:E11)</f>
        <v>1515780</v>
      </c>
    </row>
    <row r="12" spans="1:8" ht="16.5" customHeight="1" thickTop="1" x14ac:dyDescent="0.2">
      <c r="A12" s="1082"/>
      <c r="B12" s="1083"/>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4"/>
      <c r="B13" s="1085"/>
      <c r="C13" s="2351"/>
      <c r="D13" s="2352"/>
      <c r="E13" s="2352"/>
      <c r="F13" s="2353"/>
      <c r="H13" s="1074"/>
    </row>
    <row r="14" spans="1:8" ht="19.5" customHeight="1" x14ac:dyDescent="0.2">
      <c r="A14" s="1084"/>
      <c r="B14" s="1085"/>
      <c r="C14" s="2351"/>
      <c r="D14" s="2352"/>
      <c r="E14" s="2352"/>
      <c r="F14" s="2353"/>
      <c r="H14" s="1074"/>
    </row>
    <row r="15" spans="1:8" ht="17.25" customHeight="1" x14ac:dyDescent="0.2">
      <c r="A15" s="1084"/>
      <c r="B15" s="1085"/>
      <c r="C15" s="2354"/>
      <c r="D15" s="2355"/>
      <c r="E15" s="2355"/>
      <c r="F15" s="2356"/>
      <c r="H15" s="1074"/>
    </row>
    <row r="16" spans="1:8" s="310" customFormat="1" ht="51.75" hidden="1" customHeight="1" x14ac:dyDescent="0.2">
      <c r="A16" s="2350" t="s">
        <v>1687</v>
      </c>
      <c r="B16" s="2350"/>
      <c r="C16" s="2350"/>
      <c r="D16" s="2350"/>
      <c r="E16" s="235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27&amp;R&amp;8Page 27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6" colorId="8" zoomScale="110" zoomScaleNormal="110" workbookViewId="0">
      <selection activeCell="C9" sqref="C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72" t="s">
        <v>665</v>
      </c>
      <c r="B3" s="2373"/>
      <c r="C3" s="2373"/>
      <c r="D3" s="2374"/>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3" t="s">
        <v>1504</v>
      </c>
      <c r="D7" s="2384"/>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5" t="s">
        <v>1008</v>
      </c>
      <c r="B15" s="2376"/>
      <c r="C15" s="2376"/>
      <c r="D15" s="2377"/>
    </row>
    <row r="16" spans="1:4" s="668" customFormat="1" ht="24" customHeight="1" x14ac:dyDescent="0.2">
      <c r="A16" s="2378" t="s">
        <v>663</v>
      </c>
      <c r="B16" s="2379"/>
      <c r="C16" s="2379"/>
      <c r="D16" s="238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7" t="s">
        <v>314</v>
      </c>
      <c r="D21" s="2388"/>
    </row>
    <row r="22" spans="1:10" ht="12.75" x14ac:dyDescent="0.2">
      <c r="A22" s="1139"/>
      <c r="B22" s="1140">
        <v>2</v>
      </c>
      <c r="C22" s="2385" t="s">
        <v>1524</v>
      </c>
      <c r="D22" s="238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9" t="s">
        <v>536</v>
      </c>
      <c r="D43" s="239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1" t="s">
        <v>784</v>
      </c>
      <c r="D56" s="238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81" t="s">
        <v>1696</v>
      </c>
      <c r="D70" s="238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13041801060</v>
      </c>
    </row>
    <row r="3" spans="1:2" x14ac:dyDescent="0.2">
      <c r="A3" t="s">
        <v>956</v>
      </c>
      <c r="B3" s="138" t="str">
        <f>COVER!A15</f>
        <v>Franklin-Jefferson</v>
      </c>
    </row>
    <row r="4" spans="1:2" x14ac:dyDescent="0.2">
      <c r="A4" t="s">
        <v>1007</v>
      </c>
      <c r="B4" s="138" t="str">
        <f>COVER!A17</f>
        <v>Franklin Jefferson Co Sp Ed Dist</v>
      </c>
    </row>
    <row r="5" spans="1:2" x14ac:dyDescent="0.2">
      <c r="A5" t="s">
        <v>704</v>
      </c>
      <c r="B5" s="138" t="str">
        <f>COVER!A38</f>
        <v>Jera Pieper</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Nashville</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1438894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1438894</v>
      </c>
      <c r="D92" s="2" t="str">
        <f t="shared" si="0"/>
        <v>Error?</v>
      </c>
    </row>
    <row r="93" spans="1:4" x14ac:dyDescent="0.2">
      <c r="A93" s="5">
        <v>32</v>
      </c>
      <c r="B93" s="138">
        <f>'Assets-Liab 5-6'!C41</f>
        <v>1438894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76886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76886</v>
      </c>
      <c r="D123" s="2" t="str">
        <f t="shared" si="0"/>
        <v>Error?</v>
      </c>
    </row>
    <row r="124" spans="1:4" x14ac:dyDescent="0.2">
      <c r="A124" s="5">
        <v>63</v>
      </c>
      <c r="B124" s="138">
        <f>'Assets-Liab 5-6'!D41</f>
        <v>76886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11850</v>
      </c>
      <c r="D273" s="2" t="str">
        <f t="shared" si="3"/>
        <v>Error?</v>
      </c>
    </row>
    <row r="274" spans="1:4" x14ac:dyDescent="0.2">
      <c r="A274" s="5">
        <v>213</v>
      </c>
      <c r="B274" s="138">
        <f>'Assets-Liab 5-6'!M17</f>
        <v>165488</v>
      </c>
      <c r="D274" s="2" t="str">
        <f t="shared" si="3"/>
        <v>Error?</v>
      </c>
    </row>
    <row r="275" spans="1:4" x14ac:dyDescent="0.2">
      <c r="A275" s="5">
        <v>214</v>
      </c>
      <c r="B275" s="138">
        <f>'Assets-Liab 5-6'!M18</f>
        <v>17664</v>
      </c>
      <c r="D275" s="2" t="str">
        <f t="shared" si="3"/>
        <v>Error?</v>
      </c>
    </row>
    <row r="276" spans="1:4" x14ac:dyDescent="0.2">
      <c r="A276" s="5">
        <v>215</v>
      </c>
      <c r="B276" s="138">
        <f>'Assets-Liab 5-6'!M19</f>
        <v>2142793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2337795</v>
      </c>
      <c r="C279" s="2" t="s">
        <v>573</v>
      </c>
      <c r="D279" s="2" t="str">
        <f t="shared" si="3"/>
        <v>Error?</v>
      </c>
    </row>
    <row r="280" spans="1:4" x14ac:dyDescent="0.2">
      <c r="A280" s="5">
        <v>219</v>
      </c>
      <c r="B280" s="138">
        <f>'Assets-Liab 5-6'!M40</f>
        <v>2337795</v>
      </c>
      <c r="D280" s="2" t="str">
        <f t="shared" si="3"/>
        <v>Error?</v>
      </c>
    </row>
    <row r="281" spans="1:4" x14ac:dyDescent="0.2">
      <c r="A281" s="5">
        <v>220</v>
      </c>
      <c r="B281" s="138">
        <f>'Assets-Liab 5-6'!M41</f>
        <v>2337795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83234</v>
      </c>
      <c r="D719" s="2" t="str">
        <f t="shared" si="10"/>
        <v>Error?</v>
      </c>
    </row>
    <row r="720" spans="1:4" x14ac:dyDescent="0.2">
      <c r="A720" s="5">
        <v>659</v>
      </c>
      <c r="B720" s="138">
        <f>'Expenditures 15-22'!C33</f>
        <v>948120</v>
      </c>
      <c r="C720" s="2" t="s">
        <v>573</v>
      </c>
      <c r="D720" s="2" t="str">
        <f t="shared" si="10"/>
        <v>Error?</v>
      </c>
    </row>
    <row r="721" spans="1:4" x14ac:dyDescent="0.2">
      <c r="A721" s="5">
        <v>660</v>
      </c>
      <c r="B721" s="138">
        <f>'Expenditures 15-22'!C36</f>
        <v>143377</v>
      </c>
      <c r="D721" s="2" t="str">
        <f t="shared" si="10"/>
        <v>Error?</v>
      </c>
    </row>
    <row r="722" spans="1:4" x14ac:dyDescent="0.2">
      <c r="A722" s="5">
        <v>661</v>
      </c>
      <c r="B722" s="138">
        <f>'Expenditures 15-22'!C37</f>
        <v>16104</v>
      </c>
      <c r="D722" s="2" t="str">
        <f t="shared" si="10"/>
        <v>Error?</v>
      </c>
    </row>
    <row r="723" spans="1:4" x14ac:dyDescent="0.2">
      <c r="A723" s="5">
        <v>662</v>
      </c>
      <c r="B723" s="138">
        <f>'Expenditures 15-22'!C38</f>
        <v>383920</v>
      </c>
      <c r="D723" s="2" t="str">
        <f t="shared" si="10"/>
        <v>Error?</v>
      </c>
    </row>
    <row r="724" spans="1:4" x14ac:dyDescent="0.2">
      <c r="A724" s="5">
        <v>663</v>
      </c>
      <c r="B724" s="138">
        <f>'Expenditures 15-22'!C39</f>
        <v>365302</v>
      </c>
      <c r="D724" s="2" t="str">
        <f t="shared" si="10"/>
        <v>Error?</v>
      </c>
    </row>
    <row r="725" spans="1:4" x14ac:dyDescent="0.2">
      <c r="A725" s="5">
        <v>664</v>
      </c>
      <c r="B725" s="138">
        <f>'Expenditures 15-22'!C40</f>
        <v>564713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1473416</v>
      </c>
      <c r="C727" s="2" t="s">
        <v>573</v>
      </c>
      <c r="D727" s="2" t="str">
        <f t="shared" si="10"/>
        <v>Error?</v>
      </c>
    </row>
    <row r="728" spans="1:4" x14ac:dyDescent="0.2">
      <c r="A728" s="5">
        <v>667</v>
      </c>
      <c r="B728" s="138">
        <f>'Expenditures 15-22'!C44</f>
        <v>90143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90143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859859</v>
      </c>
      <c r="D733" s="2" t="str">
        <f t="shared" si="10"/>
        <v>Error?</v>
      </c>
    </row>
    <row r="734" spans="1:4" x14ac:dyDescent="0.2">
      <c r="A734" s="5">
        <v>673</v>
      </c>
      <c r="B734" s="138">
        <f>'Expenditures 15-22'!C53</f>
        <v>859859</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73868</v>
      </c>
      <c r="D739" s="2" t="str">
        <f t="shared" si="10"/>
        <v>Error?</v>
      </c>
    </row>
    <row r="740" spans="1:4" x14ac:dyDescent="0.2">
      <c r="A740" s="5">
        <v>679</v>
      </c>
      <c r="B740" s="138">
        <f>'Expenditures 15-22'!C61</f>
        <v>30294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104162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2527580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3475700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9479</v>
      </c>
      <c r="D777" s="2" t="str">
        <f t="shared" si="11"/>
        <v>Error?</v>
      </c>
    </row>
    <row r="778" spans="1:4" x14ac:dyDescent="0.2">
      <c r="A778" s="5">
        <v>717</v>
      </c>
      <c r="B778" s="138">
        <f>'Expenditures 15-22'!D33</f>
        <v>285720</v>
      </c>
      <c r="C778" s="2" t="s">
        <v>573</v>
      </c>
      <c r="D778" s="2" t="str">
        <f t="shared" si="11"/>
        <v>Error?</v>
      </c>
    </row>
    <row r="779" spans="1:4" x14ac:dyDescent="0.2">
      <c r="A779" s="5">
        <v>718</v>
      </c>
      <c r="B779" s="138">
        <f>'Expenditures 15-22'!D36</f>
        <v>18047</v>
      </c>
      <c r="D779" s="2" t="str">
        <f t="shared" si="11"/>
        <v>Error?</v>
      </c>
    </row>
    <row r="780" spans="1:4" x14ac:dyDescent="0.2">
      <c r="A780" s="5">
        <v>719</v>
      </c>
      <c r="B780" s="138">
        <f>'Expenditures 15-22'!D37</f>
        <v>1870</v>
      </c>
      <c r="D780" s="2" t="str">
        <f t="shared" si="11"/>
        <v>Error?</v>
      </c>
    </row>
    <row r="781" spans="1:4" x14ac:dyDescent="0.2">
      <c r="A781" s="5">
        <v>720</v>
      </c>
      <c r="B781" s="138">
        <f>'Expenditures 15-22'!D38</f>
        <v>114939</v>
      </c>
      <c r="D781" s="2" t="str">
        <f t="shared" si="11"/>
        <v>Error?</v>
      </c>
    </row>
    <row r="782" spans="1:4" x14ac:dyDescent="0.2">
      <c r="A782" s="5">
        <v>721</v>
      </c>
      <c r="B782" s="138">
        <f>'Expenditures 15-22'!D39</f>
        <v>45904</v>
      </c>
      <c r="D782" s="2" t="str">
        <f t="shared" si="11"/>
        <v>Error?</v>
      </c>
    </row>
    <row r="783" spans="1:4" x14ac:dyDescent="0.2">
      <c r="A783" s="5">
        <v>722</v>
      </c>
      <c r="B783" s="138">
        <f>'Expenditures 15-22'!D40</f>
        <v>73497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254257</v>
      </c>
      <c r="C785" s="2" t="s">
        <v>573</v>
      </c>
      <c r="D785" s="2" t="str">
        <f t="shared" si="11"/>
        <v>Error?</v>
      </c>
    </row>
    <row r="786" spans="1:4" x14ac:dyDescent="0.2">
      <c r="A786" s="5">
        <v>725</v>
      </c>
      <c r="B786" s="138">
        <f>'Expenditures 15-22'!D44</f>
        <v>27667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27667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182484</v>
      </c>
      <c r="D791" s="2" t="str">
        <f t="shared" si="11"/>
        <v>Error?</v>
      </c>
    </row>
    <row r="792" spans="1:4" x14ac:dyDescent="0.2">
      <c r="A792" s="5">
        <v>731</v>
      </c>
      <c r="B792" s="138">
        <f>'Expenditures 15-22'!D53</f>
        <v>182484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18516</v>
      </c>
      <c r="D797" s="2" t="str">
        <f t="shared" si="11"/>
        <v>Error?</v>
      </c>
    </row>
    <row r="798" spans="1:4" x14ac:dyDescent="0.2">
      <c r="A798" s="5">
        <v>737</v>
      </c>
      <c r="B798" s="138">
        <f>'Expenditures 15-22'!D61</f>
        <v>11909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30425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494833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780553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268153</v>
      </c>
      <c r="C836" s="2" t="s">
        <v>573</v>
      </c>
      <c r="D836" s="2" t="str">
        <f t="shared" si="12"/>
        <v>Error?</v>
      </c>
    </row>
    <row r="837" spans="1:4" x14ac:dyDescent="0.2">
      <c r="A837" s="5">
        <v>776</v>
      </c>
      <c r="B837" s="138">
        <f>'Expenditures 15-22'!E36</f>
        <v>4306</v>
      </c>
      <c r="D837" s="2" t="str">
        <f t="shared" si="12"/>
        <v>Error?</v>
      </c>
    </row>
    <row r="838" spans="1:4" x14ac:dyDescent="0.2">
      <c r="A838" s="5">
        <v>777</v>
      </c>
      <c r="B838" s="138">
        <f>'Expenditures 15-22'!E37</f>
        <v>142</v>
      </c>
      <c r="D838" s="2" t="str">
        <f t="shared" si="12"/>
        <v>Error?</v>
      </c>
    </row>
    <row r="839" spans="1:4" x14ac:dyDescent="0.2">
      <c r="A839" s="5">
        <v>778</v>
      </c>
      <c r="B839" s="138">
        <f>'Expenditures 15-22'!E38</f>
        <v>23463</v>
      </c>
      <c r="D839" s="2" t="str">
        <f t="shared" si="12"/>
        <v>Error?</v>
      </c>
    </row>
    <row r="840" spans="1:4" x14ac:dyDescent="0.2">
      <c r="A840" s="5">
        <v>779</v>
      </c>
      <c r="B840" s="138">
        <f>'Expenditures 15-22'!E39</f>
        <v>12674</v>
      </c>
      <c r="D840" s="2" t="str">
        <f t="shared" si="12"/>
        <v>Error?</v>
      </c>
    </row>
    <row r="841" spans="1:4" x14ac:dyDescent="0.2">
      <c r="A841" s="5">
        <v>780</v>
      </c>
      <c r="B841" s="138">
        <f>'Expenditures 15-22'!E40</f>
        <v>12812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53397</v>
      </c>
      <c r="C843" s="2" t="s">
        <v>573</v>
      </c>
      <c r="D843" s="2" t="str">
        <f t="shared" si="12"/>
        <v>Error?</v>
      </c>
    </row>
    <row r="844" spans="1:4" x14ac:dyDescent="0.2">
      <c r="A844" s="5">
        <v>783</v>
      </c>
      <c r="B844" s="138">
        <f>'Expenditures 15-22'!E44</f>
        <v>156082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56640</v>
      </c>
      <c r="D846" s="2" t="str">
        <f t="shared" si="12"/>
        <v>Error?</v>
      </c>
    </row>
    <row r="847" spans="1:4" x14ac:dyDescent="0.2">
      <c r="A847" s="5">
        <v>786</v>
      </c>
      <c r="B847" s="138">
        <f>'Expenditures 15-22'!E47</f>
        <v>212722</v>
      </c>
      <c r="C847" s="2" t="s">
        <v>573</v>
      </c>
      <c r="D847" s="2" t="str">
        <f t="shared" si="12"/>
        <v>Error?</v>
      </c>
    </row>
    <row r="848" spans="1:4" x14ac:dyDescent="0.2">
      <c r="A848" s="5">
        <v>787</v>
      </c>
      <c r="B848" s="138">
        <f>'Expenditures 15-22'!E49</f>
        <v>20912</v>
      </c>
      <c r="D848" s="2" t="str">
        <f t="shared" si="12"/>
        <v>Error?</v>
      </c>
    </row>
    <row r="849" spans="1:4" x14ac:dyDescent="0.2">
      <c r="A849" s="5">
        <v>788</v>
      </c>
      <c r="B849" s="138">
        <f>'Expenditures 15-22'!E50</f>
        <v>132292</v>
      </c>
      <c r="D849" s="2" t="str">
        <f t="shared" si="12"/>
        <v>Error?</v>
      </c>
    </row>
    <row r="850" spans="1:4" x14ac:dyDescent="0.2">
      <c r="A850" s="5">
        <v>789</v>
      </c>
      <c r="B850" s="138">
        <f>'Expenditures 15-22'!E53</f>
        <v>153204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21629</v>
      </c>
      <c r="D855" s="2" t="str">
        <f t="shared" si="12"/>
        <v>Error?</v>
      </c>
    </row>
    <row r="856" spans="1:4" x14ac:dyDescent="0.2">
      <c r="A856" s="5">
        <v>795</v>
      </c>
      <c r="B856" s="138">
        <f>'Expenditures 15-22'!E61</f>
        <v>24279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45908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465231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757384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1203</v>
      </c>
      <c r="D893" s="2" t="str">
        <f t="shared" si="12"/>
        <v>Error?</v>
      </c>
    </row>
    <row r="894" spans="1:4" x14ac:dyDescent="0.2">
      <c r="A894" s="5">
        <v>833</v>
      </c>
      <c r="B894" s="138">
        <f>'Expenditures 15-22'!F33</f>
        <v>60201</v>
      </c>
      <c r="C894" s="2" t="s">
        <v>573</v>
      </c>
      <c r="D894" s="2" t="str">
        <f t="shared" si="12"/>
        <v>Error?</v>
      </c>
    </row>
    <row r="895" spans="1:4" x14ac:dyDescent="0.2">
      <c r="A895" s="5">
        <v>834</v>
      </c>
      <c r="B895" s="138">
        <f>'Expenditures 15-22'!F36</f>
        <v>1071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5666</v>
      </c>
      <c r="D897" s="2" t="str">
        <f t="shared" si="13"/>
        <v>Error?</v>
      </c>
    </row>
    <row r="898" spans="1:4" x14ac:dyDescent="0.2">
      <c r="A898" s="5">
        <v>837</v>
      </c>
      <c r="B898" s="138">
        <f>'Expenditures 15-22'!F39</f>
        <v>14200</v>
      </c>
      <c r="D898" s="2" t="str">
        <f t="shared" si="13"/>
        <v>Error?</v>
      </c>
    </row>
    <row r="899" spans="1:4" x14ac:dyDescent="0.2">
      <c r="A899" s="5">
        <v>838</v>
      </c>
      <c r="B899" s="138">
        <f>'Expenditures 15-22'!F40</f>
        <v>6027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26964</v>
      </c>
      <c r="C901" s="2" t="s">
        <v>573</v>
      </c>
      <c r="D901" s="2" t="str">
        <f t="shared" si="13"/>
        <v>Error?</v>
      </c>
    </row>
    <row r="902" spans="1:4" x14ac:dyDescent="0.2">
      <c r="A902" s="5">
        <v>841</v>
      </c>
      <c r="B902" s="138">
        <f>'Expenditures 15-22'!F44</f>
        <v>1931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1931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27320</v>
      </c>
      <c r="D907" s="2" t="str">
        <f t="shared" si="13"/>
        <v>Error?</v>
      </c>
    </row>
    <row r="908" spans="1:4" x14ac:dyDescent="0.2">
      <c r="A908" s="5">
        <v>847</v>
      </c>
      <c r="B908" s="138">
        <f>'Expenditures 15-22'!F53</f>
        <v>27320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1781</v>
      </c>
      <c r="D913" s="2" t="str">
        <f t="shared" si="13"/>
        <v>Error?</v>
      </c>
    </row>
    <row r="914" spans="1:4" x14ac:dyDescent="0.2">
      <c r="A914" s="5">
        <v>853</v>
      </c>
      <c r="B914" s="138">
        <f>'Expenditures 15-22'!F61</f>
        <v>40842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42623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98838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159039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31772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24706</v>
      </c>
      <c r="D955" s="2" t="str">
        <f t="shared" si="13"/>
        <v>Error?</v>
      </c>
    </row>
    <row r="956" spans="1:4" x14ac:dyDescent="0.2">
      <c r="A956" s="5">
        <v>895</v>
      </c>
      <c r="B956" s="138">
        <f>'Expenditures 15-22'!G39</f>
        <v>8241</v>
      </c>
      <c r="D956" s="2" t="str">
        <f t="shared" si="13"/>
        <v>Error?</v>
      </c>
    </row>
    <row r="957" spans="1:4" x14ac:dyDescent="0.2">
      <c r="A957" s="5">
        <v>896</v>
      </c>
      <c r="B957" s="138">
        <f>'Expenditures 15-22'!G40</f>
        <v>11210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44157</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7831</v>
      </c>
      <c r="D965" s="2" t="str">
        <f t="shared" si="14"/>
        <v>Error?</v>
      </c>
    </row>
    <row r="966" spans="1:4" x14ac:dyDescent="0.2">
      <c r="A966" s="5">
        <v>905</v>
      </c>
      <c r="B966" s="138">
        <f>'Expenditures 15-22'!G53</f>
        <v>7831</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51988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83760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536</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536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3633</v>
      </c>
      <c r="D1023" s="2" t="str">
        <f t="shared" ref="D1023:D1086" si="15">IF(ISBLANK(B1023),"OK",IF(A1023-B1023=0,"OK","Error?"))</f>
        <v>Error?</v>
      </c>
    </row>
    <row r="1024" spans="1:4" x14ac:dyDescent="0.2">
      <c r="A1024" s="5">
        <v>963</v>
      </c>
      <c r="B1024" s="138">
        <f>'Expenditures 15-22'!H53</f>
        <v>3633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635299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639468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93916</v>
      </c>
      <c r="C1107" s="2" t="s">
        <v>573</v>
      </c>
      <c r="D1107" s="2" t="str">
        <f t="shared" si="16"/>
        <v>Error?</v>
      </c>
    </row>
    <row r="1108" spans="1:4" x14ac:dyDescent="0.2">
      <c r="A1108" s="5">
        <v>1047</v>
      </c>
      <c r="B1108" s="138">
        <f>'Expenditures 15-22'!K33</f>
        <v>1593966</v>
      </c>
      <c r="C1108" s="2" t="s">
        <v>573</v>
      </c>
      <c r="D1108" s="2" t="str">
        <f t="shared" si="16"/>
        <v>Error?</v>
      </c>
    </row>
    <row r="1109" spans="1:4" x14ac:dyDescent="0.2">
      <c r="A1109" s="5">
        <v>1048</v>
      </c>
      <c r="B1109" s="138">
        <f>'Expenditures 15-22'!K36</f>
        <v>166801</v>
      </c>
      <c r="C1109" s="2" t="s">
        <v>573</v>
      </c>
      <c r="D1109" s="2" t="str">
        <f t="shared" si="16"/>
        <v>Error?</v>
      </c>
    </row>
    <row r="1110" spans="1:4" x14ac:dyDescent="0.2">
      <c r="A1110" s="5">
        <v>1049</v>
      </c>
      <c r="B1110" s="138">
        <f>'Expenditures 15-22'!K37</f>
        <v>18116</v>
      </c>
      <c r="C1110" s="2" t="s">
        <v>573</v>
      </c>
      <c r="D1110" s="2" t="str">
        <f t="shared" si="16"/>
        <v>Error?</v>
      </c>
    </row>
    <row r="1111" spans="1:4" x14ac:dyDescent="0.2">
      <c r="A1111" s="5">
        <v>1050</v>
      </c>
      <c r="B1111" s="138">
        <f>'Expenditures 15-22'!K38</f>
        <v>552694</v>
      </c>
      <c r="C1111" s="2" t="s">
        <v>573</v>
      </c>
      <c r="D1111" s="2" t="str">
        <f t="shared" si="16"/>
        <v>Error?</v>
      </c>
    </row>
    <row r="1112" spans="1:4" x14ac:dyDescent="0.2">
      <c r="A1112" s="5">
        <v>1051</v>
      </c>
      <c r="B1112" s="138">
        <f>'Expenditures 15-22'!K39</f>
        <v>446857</v>
      </c>
      <c r="C1112" s="2" t="s">
        <v>573</v>
      </c>
      <c r="D1112" s="2" t="str">
        <f t="shared" si="16"/>
        <v>Error?</v>
      </c>
    </row>
    <row r="1113" spans="1:4" x14ac:dyDescent="0.2">
      <c r="A1113" s="5">
        <v>1052</v>
      </c>
      <c r="B1113" s="138">
        <f>'Expenditures 15-22'!K40</f>
        <v>668259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1852727</v>
      </c>
      <c r="C1115" s="2" t="s">
        <v>573</v>
      </c>
      <c r="D1115" s="2" t="str">
        <f t="shared" si="16"/>
        <v>Error?</v>
      </c>
    </row>
    <row r="1116" spans="1:4" x14ac:dyDescent="0.2">
      <c r="A1116" s="5">
        <v>1055</v>
      </c>
      <c r="B1116" s="138">
        <f>'Expenditures 15-22'!K44</f>
        <v>275823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56640</v>
      </c>
      <c r="C1118" s="2" t="s">
        <v>573</v>
      </c>
      <c r="D1118" s="2" t="str">
        <f t="shared" si="16"/>
        <v>Error?</v>
      </c>
    </row>
    <row r="1119" spans="1:4" x14ac:dyDescent="0.2">
      <c r="A1119" s="5">
        <v>1058</v>
      </c>
      <c r="B1119" s="138">
        <f>'Expenditures 15-22'!K47</f>
        <v>332463</v>
      </c>
      <c r="C1119" s="2" t="s">
        <v>573</v>
      </c>
      <c r="D1119" s="2" t="str">
        <f t="shared" si="16"/>
        <v>Error?</v>
      </c>
    </row>
    <row r="1120" spans="1:4" x14ac:dyDescent="0.2">
      <c r="A1120" s="5">
        <v>1059</v>
      </c>
      <c r="B1120" s="138">
        <f>'Expenditures 15-22'!K49</f>
        <v>20912</v>
      </c>
      <c r="C1120" s="2" t="s">
        <v>573</v>
      </c>
      <c r="D1120" s="2" t="str">
        <f t="shared" si="16"/>
        <v>Error?</v>
      </c>
    </row>
    <row r="1121" spans="1:4" x14ac:dyDescent="0.2">
      <c r="A1121" s="5">
        <v>1060</v>
      </c>
      <c r="B1121" s="138">
        <f>'Expenditures 15-22'!K50</f>
        <v>1213419</v>
      </c>
      <c r="C1121" s="2" t="s">
        <v>573</v>
      </c>
      <c r="D1121" s="2" t="str">
        <f t="shared" si="16"/>
        <v>Error?</v>
      </c>
    </row>
    <row r="1122" spans="1:4" x14ac:dyDescent="0.2">
      <c r="A1122" s="5">
        <v>1061</v>
      </c>
      <c r="B1122" s="138">
        <f>'Expenditures 15-22'!K53</f>
        <v>1234331</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115794</v>
      </c>
      <c r="C1127" s="2" t="s">
        <v>573</v>
      </c>
      <c r="D1127" s="2" t="str">
        <f t="shared" si="16"/>
        <v>Error?</v>
      </c>
    </row>
    <row r="1128" spans="1:4" x14ac:dyDescent="0.2">
      <c r="A1128" s="5">
        <v>1067</v>
      </c>
      <c r="B1128" s="138">
        <f>'Expenditures 15-22'!K61</f>
        <v>107324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223118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3642639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659299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5895904</v>
      </c>
      <c r="C1152" s="2" t="s">
        <v>573</v>
      </c>
      <c r="D1152" s="2" t="str">
        <f t="shared" si="17"/>
        <v>Error?</v>
      </c>
    </row>
    <row r="1153" spans="1:4" x14ac:dyDescent="0.2">
      <c r="A1153" s="5">
        <v>1092</v>
      </c>
      <c r="B1153" s="138">
        <f>'Expenditures 15-22'!K115</f>
        <v>413763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1345</v>
      </c>
      <c r="D1237" s="2" t="str">
        <f t="shared" si="18"/>
        <v>Error?</v>
      </c>
    </row>
    <row r="1238" spans="1:4" x14ac:dyDescent="0.2">
      <c r="A1238" s="10">
        <v>1177</v>
      </c>
      <c r="D1238" s="2" t="str">
        <f t="shared" si="18"/>
        <v>OK</v>
      </c>
    </row>
    <row r="1239" spans="1:4" x14ac:dyDescent="0.2">
      <c r="A1239" s="5">
        <v>1178</v>
      </c>
      <c r="B1239" s="138">
        <f>'Expenditures 15-22'!E127</f>
        <v>1345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1345</v>
      </c>
      <c r="C1241" s="2" t="s">
        <v>573</v>
      </c>
      <c r="D1241" s="2" t="str">
        <f t="shared" si="18"/>
        <v>Error?</v>
      </c>
    </row>
    <row r="1242" spans="1:4" x14ac:dyDescent="0.2">
      <c r="A1242" s="5">
        <v>1181</v>
      </c>
      <c r="B1242" s="138">
        <f>'Expenditures 15-22'!E151</f>
        <v>1345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1345</v>
      </c>
      <c r="C1288" s="2" t="s">
        <v>573</v>
      </c>
      <c r="D1288" s="2" t="str">
        <f t="shared" si="19"/>
        <v>Error?</v>
      </c>
    </row>
    <row r="1289" spans="1:4" x14ac:dyDescent="0.2">
      <c r="A1289" s="5">
        <v>1228</v>
      </c>
      <c r="B1289" s="138">
        <f>'Expenditures 15-22'!K152</f>
        <v>7925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1025131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1438894</v>
      </c>
      <c r="C1630" s="2" t="s">
        <v>573</v>
      </c>
      <c r="D1630" s="2" t="str">
        <f t="shared" si="24"/>
        <v>Error?</v>
      </c>
    </row>
    <row r="1631" spans="1:4" x14ac:dyDescent="0.2">
      <c r="A1631" s="5">
        <v>1570</v>
      </c>
      <c r="B1631" s="138">
        <f>'Acct Summary 7-8'!D79</f>
        <v>68961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76886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11850</v>
      </c>
      <c r="D2008" s="2" t="str">
        <f t="shared" si="30"/>
        <v>Error?</v>
      </c>
    </row>
    <row r="2009" spans="1:4" x14ac:dyDescent="0.2">
      <c r="A2009" s="5">
        <v>1948</v>
      </c>
      <c r="B2009" s="138">
        <f>'Cap Outlay Deprec 26'!C8</f>
        <v>165488</v>
      </c>
      <c r="D2009" s="2" t="str">
        <f t="shared" si="30"/>
        <v>Error?</v>
      </c>
    </row>
    <row r="2010" spans="1:4" x14ac:dyDescent="0.2">
      <c r="A2010" s="5">
        <v>1949</v>
      </c>
      <c r="B2010" s="138">
        <f>'Cap Outlay Deprec 26'!C10</f>
        <v>17664</v>
      </c>
      <c r="D2010" s="2" t="str">
        <f t="shared" si="30"/>
        <v>Error?</v>
      </c>
    </row>
    <row r="2011" spans="1:4" x14ac:dyDescent="0.2">
      <c r="A2011" s="5">
        <v>1950</v>
      </c>
      <c r="B2011" s="138">
        <f>'Cap Outlay Deprec 26'!C12</f>
        <v>2059033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2254035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83760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83760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11850</v>
      </c>
      <c r="C2026" s="2" t="s">
        <v>573</v>
      </c>
      <c r="D2026" s="2" t="str">
        <f t="shared" si="30"/>
        <v>Error?</v>
      </c>
    </row>
    <row r="2027" spans="1:4" x14ac:dyDescent="0.2">
      <c r="A2027" s="5">
        <v>1966</v>
      </c>
      <c r="B2027" s="138">
        <f>'Cap Outlay Deprec 26'!F8</f>
        <v>165488</v>
      </c>
      <c r="C2027" s="2" t="s">
        <v>573</v>
      </c>
      <c r="D2027" s="2" t="str">
        <f t="shared" si="30"/>
        <v>Error?</v>
      </c>
    </row>
    <row r="2028" spans="1:4" x14ac:dyDescent="0.2">
      <c r="A2028" s="5">
        <v>1967</v>
      </c>
      <c r="B2028" s="138">
        <f>'Cap Outlay Deprec 26'!F10</f>
        <v>17664</v>
      </c>
      <c r="C2028" s="2" t="s">
        <v>573</v>
      </c>
      <c r="D2028" s="2" t="str">
        <f t="shared" si="30"/>
        <v>Error?</v>
      </c>
    </row>
    <row r="2029" spans="1:4" x14ac:dyDescent="0.2">
      <c r="A2029" s="5">
        <v>1968</v>
      </c>
      <c r="B2029" s="138">
        <f>'Cap Outlay Deprec 26'!F12</f>
        <v>2142793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2337795</v>
      </c>
      <c r="C2031" s="2" t="s">
        <v>573</v>
      </c>
      <c r="D2031" s="2" t="str">
        <f t="shared" si="30"/>
        <v>Error?</v>
      </c>
    </row>
    <row r="2032" spans="1:4" x14ac:dyDescent="0.2">
      <c r="A2032" s="10">
        <v>1971</v>
      </c>
      <c r="D2032" s="2" t="str">
        <f t="shared" si="30"/>
        <v>OK</v>
      </c>
    </row>
    <row r="2033" spans="1:4" x14ac:dyDescent="0.2">
      <c r="A2033" s="5">
        <v>1972</v>
      </c>
      <c r="B2033" s="138">
        <f>'Cap Outlay Deprec 26'!H8</f>
        <v>88069</v>
      </c>
      <c r="D2033" s="2" t="str">
        <f t="shared" si="30"/>
        <v>Error?</v>
      </c>
    </row>
    <row r="2034" spans="1:4" x14ac:dyDescent="0.2">
      <c r="A2034" s="5">
        <v>1973</v>
      </c>
      <c r="B2034" s="138">
        <f>'Cap Outlay Deprec 26'!H10</f>
        <v>15284</v>
      </c>
      <c r="D2034" s="2" t="str">
        <f t="shared" si="30"/>
        <v>Error?</v>
      </c>
    </row>
    <row r="2035" spans="1:4" x14ac:dyDescent="0.2">
      <c r="A2035" s="5">
        <v>1974</v>
      </c>
      <c r="B2035" s="138">
        <f>'Cap Outlay Deprec 26'!H12</f>
        <v>1765771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1869124</v>
      </c>
      <c r="C2037" s="2" t="s">
        <v>573</v>
      </c>
      <c r="D2037" s="2" t="str">
        <f t="shared" si="30"/>
        <v>Error?</v>
      </c>
    </row>
    <row r="2038" spans="1:4" x14ac:dyDescent="0.2">
      <c r="A2038" s="10">
        <v>1977</v>
      </c>
      <c r="D2038" s="2" t="str">
        <f t="shared" si="30"/>
        <v>OK</v>
      </c>
    </row>
    <row r="2039" spans="1:4" x14ac:dyDescent="0.2">
      <c r="A2039" s="5">
        <v>1978</v>
      </c>
      <c r="B2039" s="138">
        <f>'Cap Outlay Deprec 26'!I8</f>
        <v>4728</v>
      </c>
      <c r="D2039" s="2" t="str">
        <f t="shared" si="30"/>
        <v>Error?</v>
      </c>
    </row>
    <row r="2040" spans="1:4" x14ac:dyDescent="0.2">
      <c r="A2040" s="5">
        <v>1979</v>
      </c>
      <c r="B2040" s="138">
        <f>'Cap Outlay Deprec 26'!I10</f>
        <v>883</v>
      </c>
      <c r="D2040" s="2" t="str">
        <f t="shared" si="30"/>
        <v>Error?</v>
      </c>
    </row>
    <row r="2041" spans="1:4" x14ac:dyDescent="0.2">
      <c r="A2041" s="5">
        <v>1980</v>
      </c>
      <c r="B2041" s="138">
        <f>'Cap Outlay Deprec 26'!I12</f>
        <v>114533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120144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92797</v>
      </c>
      <c r="C2051" s="2" t="s">
        <v>573</v>
      </c>
      <c r="D2051" s="2" t="str">
        <f t="shared" si="31"/>
        <v>Error?</v>
      </c>
    </row>
    <row r="2052" spans="1:4" x14ac:dyDescent="0.2">
      <c r="A2052" s="5">
        <v>1991</v>
      </c>
      <c r="B2052" s="138">
        <f>'Cap Outlay Deprec 26'!K10</f>
        <v>16167</v>
      </c>
      <c r="C2052" s="2" t="s">
        <v>573</v>
      </c>
      <c r="D2052" s="2" t="str">
        <f t="shared" si="31"/>
        <v>Error?</v>
      </c>
    </row>
    <row r="2053" spans="1:4" x14ac:dyDescent="0.2">
      <c r="A2053" s="5">
        <v>1992</v>
      </c>
      <c r="B2053" s="138">
        <f>'Cap Outlay Deprec 26'!K12</f>
        <v>1880304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1989268</v>
      </c>
      <c r="C2055" s="2" t="s">
        <v>573</v>
      </c>
      <c r="D2055" s="2" t="str">
        <f t="shared" si="31"/>
        <v>Error?</v>
      </c>
    </row>
    <row r="2056" spans="1:4" x14ac:dyDescent="0.2">
      <c r="A2056" s="5">
        <v>1995</v>
      </c>
      <c r="B2056" s="138">
        <f>'Cap Outlay Deprec 26'!L5</f>
        <v>11850</v>
      </c>
      <c r="C2056" s="2" t="s">
        <v>573</v>
      </c>
      <c r="D2056" s="2" t="str">
        <f t="shared" si="31"/>
        <v>Error?</v>
      </c>
    </row>
    <row r="2057" spans="1:4" x14ac:dyDescent="0.2">
      <c r="A2057" s="5">
        <v>1996</v>
      </c>
      <c r="B2057" s="138">
        <f>'Cap Outlay Deprec 26'!L8</f>
        <v>72691</v>
      </c>
      <c r="C2057" s="2" t="s">
        <v>573</v>
      </c>
      <c r="D2057" s="2" t="str">
        <f t="shared" si="31"/>
        <v>Error?</v>
      </c>
    </row>
    <row r="2058" spans="1:4" x14ac:dyDescent="0.2">
      <c r="A2058" s="5">
        <v>1997</v>
      </c>
      <c r="B2058" s="138">
        <f>'Cap Outlay Deprec 26'!L10</f>
        <v>1497</v>
      </c>
      <c r="C2058" s="2" t="s">
        <v>573</v>
      </c>
      <c r="D2058" s="2" t="str">
        <f t="shared" si="31"/>
        <v>Error?</v>
      </c>
    </row>
    <row r="2059" spans="1:4" x14ac:dyDescent="0.2">
      <c r="A2059" s="5">
        <v>1998</v>
      </c>
      <c r="B2059" s="138">
        <f>'Cap Outlay Deprec 26'!L12</f>
        <v>262489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348527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635299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659299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2993606</v>
      </c>
      <c r="C2551" s="2" t="s">
        <v>573</v>
      </c>
      <c r="D2551" s="2" t="str">
        <f t="shared" si="38"/>
        <v>Error?</v>
      </c>
    </row>
    <row r="2552" spans="1:4" x14ac:dyDescent="0.2">
      <c r="A2552" s="10">
        <v>2491</v>
      </c>
      <c r="D2552" s="2" t="str">
        <f t="shared" si="38"/>
        <v>OK</v>
      </c>
    </row>
    <row r="2553" spans="1:4" x14ac:dyDescent="0.2">
      <c r="A2553" s="5">
        <v>2492</v>
      </c>
      <c r="B2553" s="138">
        <f>'Acct Summary 7-8'!C6</f>
        <v>381606</v>
      </c>
      <c r="C2553" s="2" t="s">
        <v>573</v>
      </c>
      <c r="D2553" s="2" t="str">
        <f t="shared" si="38"/>
        <v>Error?</v>
      </c>
    </row>
    <row r="2554" spans="1:4" x14ac:dyDescent="0.2">
      <c r="A2554" s="5">
        <v>2493</v>
      </c>
      <c r="B2554" s="138">
        <f>'Acct Summary 7-8'!C7</f>
        <v>2934455</v>
      </c>
      <c r="C2554" s="2" t="s">
        <v>573</v>
      </c>
      <c r="D2554" s="2" t="str">
        <f t="shared" si="38"/>
        <v>Error?</v>
      </c>
    </row>
    <row r="2555" spans="1:4" x14ac:dyDescent="0.2">
      <c r="A2555" s="5">
        <v>2494</v>
      </c>
      <c r="B2555" s="138">
        <f>'Acct Summary 7-8'!C8</f>
        <v>6309667</v>
      </c>
      <c r="C2555" s="2" t="s">
        <v>573</v>
      </c>
      <c r="D2555" s="2" t="str">
        <f t="shared" si="38"/>
        <v>Error?</v>
      </c>
    </row>
    <row r="2556" spans="1:4" x14ac:dyDescent="0.2">
      <c r="A2556" s="5">
        <v>2495</v>
      </c>
      <c r="B2556" s="138">
        <f>'Acct Summary 7-8'!C12</f>
        <v>1593966</v>
      </c>
      <c r="C2556" s="2" t="s">
        <v>573</v>
      </c>
      <c r="D2556" s="2" t="str">
        <f t="shared" si="38"/>
        <v>Error?</v>
      </c>
    </row>
    <row r="2557" spans="1:4" x14ac:dyDescent="0.2">
      <c r="A2557" s="5">
        <v>2496</v>
      </c>
      <c r="B2557" s="138">
        <f>'Acct Summary 7-8'!C13</f>
        <v>3642639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659299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5895904</v>
      </c>
      <c r="C2561" s="2" t="s">
        <v>573</v>
      </c>
      <c r="D2561" s="2" t="str">
        <f t="shared" si="39"/>
        <v>Error?</v>
      </c>
    </row>
    <row r="2562" spans="1:4" x14ac:dyDescent="0.2">
      <c r="A2562" s="5">
        <v>2501</v>
      </c>
      <c r="B2562" s="138">
        <f>'Acct Summary 7-8'!C20</f>
        <v>413763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9270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9270</v>
      </c>
      <c r="C2568" s="2" t="s">
        <v>573</v>
      </c>
      <c r="D2568" s="2" t="str">
        <f t="shared" si="39"/>
        <v>Error?</v>
      </c>
    </row>
    <row r="2569" spans="1:4" x14ac:dyDescent="0.2">
      <c r="A2569" s="5">
        <v>2508</v>
      </c>
      <c r="B2569" s="138">
        <f>'Acct Summary 7-8'!D13</f>
        <v>1345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1345</v>
      </c>
      <c r="C2573" s="2" t="s">
        <v>573</v>
      </c>
      <c r="D2573" s="2" t="str">
        <f t="shared" si="39"/>
        <v>Error?</v>
      </c>
    </row>
    <row r="2574" spans="1:4" x14ac:dyDescent="0.2">
      <c r="A2574" s="5">
        <v>2513</v>
      </c>
      <c r="B2574" s="138">
        <f>'Acct Summary 7-8'!D20</f>
        <v>7925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24000</v>
      </c>
      <c r="C2789" s="2" t="s">
        <v>573</v>
      </c>
      <c r="D2789" s="2" t="str">
        <f t="shared" si="42"/>
        <v>Error?</v>
      </c>
    </row>
    <row r="2790" spans="1:4" x14ac:dyDescent="0.2">
      <c r="A2790" s="5">
        <v>2729</v>
      </c>
      <c r="B2790" s="138">
        <f>'Expenditures 15-22'!E102</f>
        <v>24000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635299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659299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413763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7925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864886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276241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268153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58998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31772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1500050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1438894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76886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225450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6535117</v>
      </c>
      <c r="C4122" s="2" t="s">
        <v>573</v>
      </c>
      <c r="D4122" s="2" t="str">
        <f t="shared" si="63"/>
        <v>Error?</v>
      </c>
    </row>
    <row r="4123" spans="1:4" x14ac:dyDescent="0.2">
      <c r="A4123" s="5">
        <v>4062</v>
      </c>
      <c r="B4123" s="138">
        <f>'Acct Summary 7-8'!D10</f>
        <v>9270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225450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6121354</v>
      </c>
      <c r="C4136" s="2" t="s">
        <v>573</v>
      </c>
      <c r="D4136" s="2" t="str">
        <f t="shared" si="63"/>
        <v>Error?</v>
      </c>
    </row>
    <row r="4137" spans="1:4" x14ac:dyDescent="0.2">
      <c r="A4137" s="5">
        <v>4076</v>
      </c>
      <c r="B4137" s="138">
        <f>'Acct Summary 7-8'!D19</f>
        <v>1345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1515780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73699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239378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1162256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1734935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1734935</v>
      </c>
      <c r="C5087" s="2" t="s">
        <v>573</v>
      </c>
      <c r="D5087" s="2" t="str">
        <f t="shared" si="78"/>
        <v>Error?</v>
      </c>
    </row>
    <row r="5088" spans="1:4" x14ac:dyDescent="0.2">
      <c r="A5088" s="5">
        <v>5027</v>
      </c>
      <c r="B5088" s="138">
        <f>'Revenues 9-14'!C65</f>
        <v>303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67378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28697</v>
      </c>
      <c r="D5119" s="2" t="str">
        <f t="shared" ref="D5119:D5182" si="79">IF(ISBLANK(B5119),"OK",IF(A5119-B5119=0,"OK","Error?"))</f>
        <v>Error?</v>
      </c>
    </row>
    <row r="5120" spans="1:4" x14ac:dyDescent="0.2">
      <c r="A5120" s="5">
        <v>5059</v>
      </c>
      <c r="B5120" s="138">
        <f>'Revenues 9-14'!C108</f>
        <v>1258331</v>
      </c>
      <c r="C5120" s="2" t="s">
        <v>573</v>
      </c>
      <c r="D5120" s="2" t="str">
        <f t="shared" si="79"/>
        <v>Error?</v>
      </c>
    </row>
    <row r="5121" spans="1:4" x14ac:dyDescent="0.2">
      <c r="A5121" s="5">
        <v>5060</v>
      </c>
      <c r="B5121" s="138">
        <f>'Revenues 9-14'!C109</f>
        <v>2993606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380946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380946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660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381606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20058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14064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34122</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90874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2496382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2587256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2934455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2934455</v>
      </c>
      <c r="C5326" s="2" t="s">
        <v>573</v>
      </c>
      <c r="D5326" s="2" t="str">
        <f t="shared" si="82"/>
        <v>Error?</v>
      </c>
    </row>
    <row r="5327" spans="1:5" x14ac:dyDescent="0.2">
      <c r="A5327" s="5">
        <v>5266</v>
      </c>
      <c r="B5327" s="138">
        <f>'Revenues 9-14'!C268</f>
        <v>6309667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9247</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9247</v>
      </c>
      <c r="C5355" s="2" t="s">
        <v>573</v>
      </c>
      <c r="D5355" s="2" t="str">
        <f t="shared" si="82"/>
        <v>Error?</v>
      </c>
    </row>
    <row r="5356" spans="1:4" x14ac:dyDescent="0.2">
      <c r="A5356" s="5">
        <v>5295</v>
      </c>
      <c r="B5356" s="138">
        <f>'Revenues 9-14'!D109</f>
        <v>9270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9270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413763</v>
      </c>
      <c r="D6267" s="2" t="str">
        <f t="shared" si="96"/>
        <v>Error?</v>
      </c>
      <c r="E6267" s="2" t="s">
        <v>190</v>
      </c>
    </row>
    <row r="6268" spans="1:5" x14ac:dyDescent="0.2">
      <c r="A6268">
        <v>6207</v>
      </c>
      <c r="B6268" s="138">
        <f>'Acct Summary 7-8'!D82</f>
        <v>7925</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0.28755627586187726</v>
      </c>
      <c r="D6276" s="2" t="str">
        <f t="shared" si="97"/>
        <v>Error?</v>
      </c>
      <c r="E6276" s="2" t="s">
        <v>190</v>
      </c>
    </row>
    <row r="6277" spans="1:5" x14ac:dyDescent="0.2">
      <c r="A6277">
        <v>6216</v>
      </c>
      <c r="B6277" s="138">
        <f>'Acct Summary 7-8'!D83</f>
        <v>0.10307468199672241</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120144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29'!D39</f>
        <v>167806</v>
      </c>
      <c r="D7797" s="2" t="str">
        <f t="shared" si="127"/>
        <v>Error?</v>
      </c>
      <c r="E7797" s="4" t="s">
        <v>1899</v>
      </c>
    </row>
    <row r="7798" spans="1:5" x14ac:dyDescent="0.2">
      <c r="A7798">
        <v>7737</v>
      </c>
      <c r="B7798" s="138">
        <f>'Contracts Paid in CY 29'!F39</f>
        <v>139562</v>
      </c>
      <c r="D7798" s="2" t="str">
        <f t="shared" si="127"/>
        <v>Error?</v>
      </c>
      <c r="E7798" s="4" t="s">
        <v>1899</v>
      </c>
    </row>
    <row r="7799" spans="1:5" x14ac:dyDescent="0.2">
      <c r="A7799">
        <v>7738</v>
      </c>
      <c r="B7799" s="138">
        <f>'Contracts Paid in CY 29'!G39</f>
        <v>28244</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3"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4" t="s">
        <v>1191</v>
      </c>
      <c r="B2" s="2414"/>
      <c r="C2" s="2414"/>
      <c r="D2" s="2414"/>
      <c r="E2" s="2414"/>
      <c r="F2" s="2414"/>
      <c r="G2" s="2414"/>
      <c r="H2" s="2414"/>
      <c r="I2" s="2414"/>
      <c r="J2" s="2414"/>
      <c r="K2" s="2414"/>
      <c r="L2" s="2414"/>
    </row>
    <row r="3" spans="1:29" ht="13.5" customHeight="1" x14ac:dyDescent="0.2">
      <c r="A3" s="2400" t="s">
        <v>1190</v>
      </c>
      <c r="B3" s="2400"/>
      <c r="C3" s="2400"/>
      <c r="D3" s="2400"/>
      <c r="E3" s="2400"/>
      <c r="F3" s="2400"/>
      <c r="G3" s="2400"/>
      <c r="H3" s="2400"/>
      <c r="I3" s="2400"/>
      <c r="J3" s="2400"/>
      <c r="K3" s="2400"/>
      <c r="L3" s="2400"/>
    </row>
    <row r="4" spans="1:29" ht="13.5" customHeight="1" x14ac:dyDescent="0.2">
      <c r="A4" s="2414" t="s">
        <v>1983</v>
      </c>
      <c r="B4" s="2431"/>
      <c r="C4" s="2431"/>
      <c r="D4" s="2431"/>
      <c r="E4" s="2431"/>
      <c r="F4" s="2431"/>
      <c r="G4" s="2431"/>
      <c r="H4" s="2431"/>
      <c r="I4" s="2431"/>
      <c r="J4" s="2431"/>
      <c r="K4" s="2431"/>
      <c r="L4" s="243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4" t="str">
        <f>COVER!A17</f>
        <v>Franklin Jefferson Co Sp Ed Dist</v>
      </c>
      <c r="B7" s="2395"/>
      <c r="C7" s="2395"/>
      <c r="D7" s="2432"/>
      <c r="E7" s="2433">
        <f>COVER!A13</f>
        <v>13041801060</v>
      </c>
      <c r="F7" s="2434"/>
      <c r="G7" s="2401" t="str">
        <f>COVER!T23</f>
        <v>060-004252</v>
      </c>
      <c r="H7" s="2402"/>
      <c r="I7" s="2402"/>
      <c r="J7" s="2402"/>
      <c r="K7" s="2402"/>
      <c r="L7" s="240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4"/>
      <c r="B9" s="2405"/>
      <c r="C9" s="2405"/>
      <c r="D9" s="2405"/>
      <c r="E9" s="2405"/>
      <c r="F9" s="2406"/>
      <c r="G9" s="2407" t="str">
        <f>COVER!T13</f>
        <v>Emling &amp; Hoffman, PC</v>
      </c>
      <c r="H9" s="2408"/>
      <c r="I9" s="2408"/>
      <c r="J9" s="2408"/>
      <c r="K9" s="2408"/>
      <c r="L9" s="2409"/>
    </row>
    <row r="10" spans="1:29" ht="13.5" customHeight="1" x14ac:dyDescent="0.2">
      <c r="A10" s="2391" t="str">
        <f>COVER!A38</f>
        <v>Jera Pieper</v>
      </c>
      <c r="B10" s="2392"/>
      <c r="C10" s="2392"/>
      <c r="D10" s="2392"/>
      <c r="E10" s="2392"/>
      <c r="F10" s="2393"/>
      <c r="G10" s="2407" t="str">
        <f>COVER!T17</f>
        <v>1191 West Saint Louis Street</v>
      </c>
      <c r="H10" s="2420"/>
      <c r="I10" s="2420"/>
      <c r="J10" s="2420"/>
      <c r="K10" s="2420"/>
      <c r="L10" s="2421"/>
    </row>
    <row r="11" spans="1:29" ht="13.5" customHeight="1" x14ac:dyDescent="0.2">
      <c r="A11" s="1184" t="s">
        <v>1519</v>
      </c>
      <c r="B11" s="1185"/>
      <c r="C11" s="1186"/>
      <c r="D11" s="1191"/>
      <c r="E11" s="1186"/>
      <c r="F11" s="1190"/>
      <c r="G11" s="2407" t="str">
        <f>COVER!T19</f>
        <v>Nashville</v>
      </c>
      <c r="H11" s="2420"/>
      <c r="I11" s="2420"/>
      <c r="J11" s="2420"/>
      <c r="K11" s="2420"/>
      <c r="L11" s="2421"/>
    </row>
    <row r="12" spans="1:29" ht="13.5" customHeight="1" x14ac:dyDescent="0.2">
      <c r="A12" s="2425" t="s">
        <v>1518</v>
      </c>
      <c r="B12" s="2426"/>
      <c r="C12" s="2426"/>
      <c r="D12" s="2426"/>
      <c r="E12" s="2426"/>
      <c r="F12" s="2427"/>
      <c r="G12" s="2422"/>
      <c r="H12" s="2423"/>
      <c r="I12" s="2423"/>
      <c r="J12" s="2423"/>
      <c r="K12" s="2423"/>
      <c r="L12" s="2424"/>
    </row>
    <row r="13" spans="1:29" ht="13.5" customHeight="1" x14ac:dyDescent="0.2">
      <c r="A13" s="2407"/>
      <c r="B13" s="2420"/>
      <c r="C13" s="2420"/>
      <c r="D13" s="2420"/>
      <c r="E13" s="2420"/>
      <c r="F13" s="2421"/>
      <c r="G13" s="2415" t="s">
        <v>1520</v>
      </c>
      <c r="H13" s="2416"/>
      <c r="I13" s="2428" t="str">
        <f>COVER!T25</f>
        <v>donhoffman@emlingcpa.com</v>
      </c>
      <c r="J13" s="2429"/>
      <c r="K13" s="2429"/>
      <c r="L13" s="2430"/>
    </row>
    <row r="14" spans="1:29" ht="13.5" customHeight="1" x14ac:dyDescent="0.2">
      <c r="A14" s="2407" t="str">
        <f>COVER!A19</f>
        <v>409 E Park</v>
      </c>
      <c r="B14" s="2420"/>
      <c r="C14" s="2420"/>
      <c r="D14" s="2420"/>
      <c r="E14" s="2420"/>
      <c r="F14" s="2421"/>
      <c r="G14" s="1195" t="s">
        <v>1185</v>
      </c>
      <c r="H14" s="1193"/>
      <c r="I14" s="1193"/>
      <c r="J14" s="1193"/>
      <c r="K14" s="1193"/>
      <c r="L14" s="1194"/>
    </row>
    <row r="15" spans="1:29" ht="13.5" customHeight="1" x14ac:dyDescent="0.2">
      <c r="A15" s="2407" t="str">
        <f>COVER!A21</f>
        <v>Benton</v>
      </c>
      <c r="B15" s="2420"/>
      <c r="C15" s="2420"/>
      <c r="D15" s="2420"/>
      <c r="E15" s="2420"/>
      <c r="F15" s="2421"/>
      <c r="G15" s="2417" t="str">
        <f>COVER!T15</f>
        <v>Donald L Hoffman</v>
      </c>
      <c r="H15" s="2418"/>
      <c r="I15" s="2418"/>
      <c r="J15" s="2418"/>
      <c r="K15" s="2418"/>
      <c r="L15" s="2419"/>
    </row>
    <row r="16" spans="1:29" ht="12.2" customHeight="1" x14ac:dyDescent="0.2">
      <c r="A16" s="2397">
        <f>COVER!A25</f>
        <v>62812</v>
      </c>
      <c r="B16" s="2398"/>
      <c r="C16" s="2398"/>
      <c r="D16" s="2398"/>
      <c r="E16" s="2398"/>
      <c r="F16" s="2399"/>
      <c r="G16" s="2410"/>
      <c r="H16" s="2411"/>
      <c r="I16" s="2411"/>
      <c r="J16" s="2411"/>
      <c r="K16" s="2411"/>
      <c r="L16" s="2412"/>
    </row>
    <row r="17" spans="1:13" ht="12.2" customHeight="1" x14ac:dyDescent="0.2">
      <c r="A17" s="2413"/>
      <c r="B17" s="2398"/>
      <c r="C17" s="2398"/>
      <c r="D17" s="2398"/>
      <c r="E17" s="2398"/>
      <c r="F17" s="2399"/>
      <c r="G17" s="1195" t="s">
        <v>1184</v>
      </c>
      <c r="H17" s="1193"/>
      <c r="I17" s="1193"/>
      <c r="J17" s="1193"/>
      <c r="K17" s="1197" t="s">
        <v>1183</v>
      </c>
      <c r="L17" s="1190"/>
      <c r="M17" s="1183"/>
    </row>
    <row r="18" spans="1:13" ht="12.2" customHeight="1" x14ac:dyDescent="0.2">
      <c r="A18" s="2391"/>
      <c r="B18" s="2392"/>
      <c r="C18" s="2392"/>
      <c r="D18" s="2392"/>
      <c r="E18" s="2392"/>
      <c r="F18" s="2393"/>
      <c r="G18" s="2394" t="str">
        <f>COVER!T21</f>
        <v>618-327-4375</v>
      </c>
      <c r="H18" s="2395"/>
      <c r="I18" s="2395"/>
      <c r="J18" s="2395"/>
      <c r="K18" s="2394" t="str">
        <f>COVER!X21</f>
        <v>618-327-4376</v>
      </c>
      <c r="L18" s="239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2061</v>
      </c>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28&amp;R&amp;8Page 28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9" sqref="A9:F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5" t="str">
        <f>'Single Audit Cover'!A7</f>
        <v>Franklin Jefferson Co Sp Ed Dist</v>
      </c>
      <c r="B1" s="2431"/>
      <c r="C1" s="2431"/>
      <c r="D1" s="2431"/>
    </row>
    <row r="2" spans="1:11" s="1212" customFormat="1" ht="12.75" x14ac:dyDescent="0.2">
      <c r="A2" s="2436">
        <f>'Single Audit Cover'!E7</f>
        <v>13041801060</v>
      </c>
      <c r="B2" s="2437"/>
      <c r="C2" s="2437"/>
      <c r="D2" s="2437"/>
    </row>
    <row r="3" spans="1:11" s="1212" customFormat="1" ht="12.75" x14ac:dyDescent="0.2">
      <c r="A3" s="2435" t="s">
        <v>1513</v>
      </c>
      <c r="B3" s="2431"/>
      <c r="C3" s="2431"/>
      <c r="D3" s="243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9" sqref="A9:F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9" t="str">
        <f>'Single Audit Cover'!A7</f>
        <v>Franklin Jefferson Co Sp Ed Dist</v>
      </c>
      <c r="B1" s="2439"/>
      <c r="C1" s="2439"/>
      <c r="D1" s="2439"/>
      <c r="E1" s="2439"/>
    </row>
    <row r="2" spans="1:5" x14ac:dyDescent="0.2">
      <c r="A2" s="2440">
        <f>'Single Audit Cover'!E7</f>
        <v>13041801060</v>
      </c>
      <c r="B2" s="2440"/>
      <c r="C2" s="2440"/>
      <c r="D2" s="2440"/>
      <c r="E2" s="2440"/>
    </row>
    <row r="3" spans="1:5" ht="4.5" customHeight="1" x14ac:dyDescent="0.2"/>
    <row r="4" spans="1:5" x14ac:dyDescent="0.2">
      <c r="A4" s="2439" t="s">
        <v>1245</v>
      </c>
      <c r="B4" s="2439"/>
      <c r="C4" s="2439"/>
      <c r="D4" s="2439"/>
      <c r="E4" s="2439"/>
    </row>
    <row r="5" spans="1:5" x14ac:dyDescent="0.2">
      <c r="A5" s="2442" t="str">
        <f>'Single Audit Cover'!A4</f>
        <v>Year Ending June 30, 2019</v>
      </c>
      <c r="B5" s="2442"/>
      <c r="C5" s="2442"/>
      <c r="D5" s="2442"/>
      <c r="E5" s="2442"/>
    </row>
    <row r="6" spans="1:5" x14ac:dyDescent="0.2">
      <c r="A6" s="2439" t="s">
        <v>1244</v>
      </c>
      <c r="B6" s="2439"/>
      <c r="C6" s="2439"/>
      <c r="D6" s="2439"/>
      <c r="E6" s="2439"/>
    </row>
    <row r="8" spans="1:5" x14ac:dyDescent="0.2">
      <c r="A8" s="1257" t="s">
        <v>1243</v>
      </c>
    </row>
    <row r="10" spans="1:5" x14ac:dyDescent="0.2">
      <c r="A10" s="1258" t="s">
        <v>1242</v>
      </c>
      <c r="B10" s="1259" t="s">
        <v>1241</v>
      </c>
      <c r="C10" s="1259"/>
      <c r="D10" s="1260">
        <f>SUM('Acct Summary 7-8'!C7:K7)</f>
        <v>2934455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1839</v>
      </c>
      <c r="B16" s="1259"/>
      <c r="C16" s="1259"/>
    </row>
    <row r="17" spans="1:4" x14ac:dyDescent="0.2">
      <c r="A17" s="1258" t="s">
        <v>2055</v>
      </c>
      <c r="B17" s="1259" t="s">
        <v>1236</v>
      </c>
      <c r="C17" s="1259"/>
      <c r="D17" s="1261">
        <f>-SUM('Revenues 9-14'!C264:D264,'Revenues 9-14'!F264:G264)</f>
        <v>-239378</v>
      </c>
    </row>
    <row r="19" spans="1:4" ht="13.5" thickBot="1" x14ac:dyDescent="0.25">
      <c r="A19" s="1262" t="s">
        <v>1235</v>
      </c>
      <c r="D19" s="1263">
        <f>SUM(D10:D17)</f>
        <v>2695077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1"/>
      <c r="B24" s="2441"/>
      <c r="D24" s="1265"/>
    </row>
    <row r="25" spans="1:4" x14ac:dyDescent="0.2">
      <c r="A25" s="2438"/>
      <c r="B25" s="2438"/>
      <c r="D25" s="1265"/>
    </row>
    <row r="26" spans="1:4" x14ac:dyDescent="0.2">
      <c r="A26" s="2438"/>
      <c r="B26" s="2438"/>
      <c r="D26" s="1265"/>
    </row>
    <row r="27" spans="1:4" x14ac:dyDescent="0.2">
      <c r="A27" s="2438"/>
      <c r="B27" s="2438"/>
      <c r="D27" s="1265"/>
    </row>
    <row r="28" spans="1:4" x14ac:dyDescent="0.2">
      <c r="A28" s="2438"/>
      <c r="B28" s="2438"/>
      <c r="D28" s="1265"/>
    </row>
    <row r="29" spans="1:4" x14ac:dyDescent="0.2">
      <c r="A29" s="2438"/>
      <c r="B29" s="2438"/>
      <c r="D29" s="1265"/>
    </row>
    <row r="30" spans="1:4" x14ac:dyDescent="0.2">
      <c r="A30" s="2438"/>
      <c r="B30" s="2438"/>
      <c r="D30" s="1265"/>
    </row>
    <row r="32" spans="1:4" x14ac:dyDescent="0.2">
      <c r="A32" s="1257" t="s">
        <v>1233</v>
      </c>
      <c r="D32" s="1260">
        <f>SUM(D19:D30)</f>
        <v>2695077</v>
      </c>
    </row>
    <row r="33" spans="1:4" x14ac:dyDescent="0.2">
      <c r="D33" s="1266"/>
    </row>
    <row r="34" spans="1:4" x14ac:dyDescent="0.2">
      <c r="A34" s="317" t="s">
        <v>1232</v>
      </c>
    </row>
    <row r="35" spans="1:4" x14ac:dyDescent="0.2">
      <c r="A35" s="317" t="s">
        <v>1231</v>
      </c>
      <c r="B35" s="1255" t="s">
        <v>1230</v>
      </c>
      <c r="D35" s="1267">
        <v>2695078</v>
      </c>
    </row>
    <row r="37" spans="1:4" x14ac:dyDescent="0.2">
      <c r="A37" s="1257" t="s">
        <v>1229</v>
      </c>
    </row>
    <row r="39" spans="1:4" ht="13.35" customHeight="1" x14ac:dyDescent="0.2">
      <c r="A39" s="1264" t="s">
        <v>1228</v>
      </c>
    </row>
    <row r="40" spans="1:4" x14ac:dyDescent="0.2">
      <c r="A40" s="2438" t="s">
        <v>2138</v>
      </c>
      <c r="B40" s="2438"/>
      <c r="D40" s="1265">
        <v>-1</v>
      </c>
    </row>
    <row r="41" spans="1:4" x14ac:dyDescent="0.2">
      <c r="A41" s="2438"/>
      <c r="B41" s="2438"/>
      <c r="D41" s="1268"/>
    </row>
    <row r="42" spans="1:4" x14ac:dyDescent="0.2">
      <c r="A42" s="2438"/>
      <c r="B42" s="2438"/>
      <c r="D42" s="1268"/>
    </row>
    <row r="43" spans="1:4" x14ac:dyDescent="0.2">
      <c r="A43" s="2438"/>
      <c r="B43" s="2438"/>
      <c r="D43" s="1268"/>
    </row>
    <row r="44" spans="1:4" x14ac:dyDescent="0.2">
      <c r="A44" s="2438"/>
      <c r="B44" s="2438"/>
      <c r="D44" s="1268"/>
    </row>
    <row r="45" spans="1:4" x14ac:dyDescent="0.2">
      <c r="A45" s="2438"/>
      <c r="B45" s="2438"/>
      <c r="D45" s="1268"/>
    </row>
    <row r="47" spans="1:4" x14ac:dyDescent="0.2">
      <c r="B47" s="1269" t="s">
        <v>1227</v>
      </c>
      <c r="C47" s="1269"/>
      <c r="D47" s="1270">
        <f>SUM(D35:D45)</f>
        <v>2695077</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29&amp;R&amp;8Page 29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22" zoomScaleNormal="100" workbookViewId="0">
      <selection activeCell="A9" sqref="A9:F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0" t="str">
        <f>'Single Audit Cover'!A7</f>
        <v>Franklin Jefferson Co Sp Ed Dist</v>
      </c>
      <c r="C1" s="2443"/>
      <c r="D1" s="2443"/>
      <c r="E1" s="2443"/>
      <c r="F1" s="2443"/>
      <c r="G1" s="2443"/>
      <c r="H1" s="2443"/>
      <c r="I1" s="2443"/>
      <c r="J1" s="2443"/>
      <c r="K1" s="2443"/>
      <c r="L1" s="2443"/>
      <c r="M1" s="2443"/>
    </row>
    <row r="2" spans="2:14" ht="15" x14ac:dyDescent="0.2">
      <c r="B2" s="2444">
        <f>'Single Audit Cover'!E7</f>
        <v>13041801060</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5" t="s">
        <v>2076</v>
      </c>
      <c r="C11" s="1335"/>
      <c r="D11" s="1336"/>
      <c r="E11" s="1337"/>
      <c r="F11" s="1337"/>
      <c r="G11" s="1337"/>
      <c r="H11" s="1337"/>
      <c r="I11" s="1337"/>
      <c r="J11" s="1337"/>
      <c r="K11" s="1337"/>
      <c r="L11" s="1337">
        <f>+G11+I11+K11</f>
        <v>0</v>
      </c>
      <c r="M11" s="1337"/>
    </row>
    <row r="12" spans="2:14" ht="20.100000000000001" customHeight="1" x14ac:dyDescent="0.2">
      <c r="B12" s="1935" t="s">
        <v>2077</v>
      </c>
      <c r="C12" s="1338"/>
      <c r="D12" s="1339"/>
      <c r="E12" s="1340"/>
      <c r="F12" s="1340"/>
      <c r="G12" s="1340"/>
      <c r="H12" s="1340"/>
      <c r="I12" s="1340"/>
      <c r="J12" s="1340"/>
      <c r="K12" s="1340"/>
      <c r="L12" s="1337">
        <f t="shared" ref="L12:L27" si="0">+G12+I12+K12</f>
        <v>0</v>
      </c>
      <c r="M12" s="1340"/>
    </row>
    <row r="13" spans="2:14" ht="20.100000000000001" customHeight="1" x14ac:dyDescent="0.2">
      <c r="B13" s="1334" t="s">
        <v>2078</v>
      </c>
      <c r="C13" s="1338" t="s">
        <v>2080</v>
      </c>
      <c r="D13" s="1339" t="s">
        <v>2081</v>
      </c>
      <c r="E13" s="1340">
        <v>1486670</v>
      </c>
      <c r="F13" s="1340">
        <v>298912</v>
      </c>
      <c r="G13" s="1340">
        <v>1652949</v>
      </c>
      <c r="H13" s="1340">
        <v>0</v>
      </c>
      <c r="I13" s="1340">
        <v>261907</v>
      </c>
      <c r="J13" s="1340">
        <v>0</v>
      </c>
      <c r="K13" s="1340">
        <v>0</v>
      </c>
      <c r="L13" s="1337">
        <f t="shared" si="0"/>
        <v>1914856</v>
      </c>
      <c r="M13" s="1340">
        <v>2533165</v>
      </c>
    </row>
    <row r="14" spans="2:14" ht="20.100000000000001" customHeight="1" x14ac:dyDescent="0.2">
      <c r="B14" s="1334" t="s">
        <v>2078</v>
      </c>
      <c r="C14" s="1338" t="s">
        <v>2080</v>
      </c>
      <c r="D14" s="1339" t="s">
        <v>2081</v>
      </c>
      <c r="E14" s="1939">
        <v>675500</v>
      </c>
      <c r="F14" s="1939">
        <v>0</v>
      </c>
      <c r="G14" s="1939">
        <v>0</v>
      </c>
      <c r="H14" s="1939">
        <v>545726</v>
      </c>
      <c r="I14" s="1939">
        <v>0</v>
      </c>
      <c r="J14" s="1939">
        <v>0</v>
      </c>
      <c r="K14" s="1939">
        <v>0</v>
      </c>
      <c r="L14" s="1940">
        <f t="shared" si="0"/>
        <v>0</v>
      </c>
      <c r="M14" s="1939"/>
    </row>
    <row r="15" spans="2:14" ht="20.100000000000001" customHeight="1" x14ac:dyDescent="0.2">
      <c r="B15" s="1334" t="s">
        <v>2083</v>
      </c>
      <c r="C15" s="1338"/>
      <c r="D15" s="1339"/>
      <c r="E15" s="1941">
        <f>SUM(E13:E14)</f>
        <v>2162170</v>
      </c>
      <c r="F15" s="1941">
        <f t="shared" ref="F15:K15" si="1">SUM(F13:F14)</f>
        <v>298912</v>
      </c>
      <c r="G15" s="1941">
        <f t="shared" si="1"/>
        <v>1652949</v>
      </c>
      <c r="H15" s="1941">
        <f t="shared" si="1"/>
        <v>545726</v>
      </c>
      <c r="I15" s="1941">
        <f t="shared" si="1"/>
        <v>261907</v>
      </c>
      <c r="J15" s="1941">
        <f t="shared" si="1"/>
        <v>0</v>
      </c>
      <c r="K15" s="1941">
        <f t="shared" si="1"/>
        <v>0</v>
      </c>
      <c r="L15" s="1941">
        <f t="shared" si="0"/>
        <v>1914856</v>
      </c>
      <c r="M15" s="1941"/>
    </row>
    <row r="16" spans="2:14" ht="20.100000000000001" customHeight="1" x14ac:dyDescent="0.2">
      <c r="B16" s="1334"/>
      <c r="C16" s="1338"/>
      <c r="D16" s="1339"/>
      <c r="E16" s="1337"/>
      <c r="F16" s="1337"/>
      <c r="G16" s="1337"/>
      <c r="H16" s="1337"/>
      <c r="I16" s="1337"/>
      <c r="J16" s="1337"/>
      <c r="K16" s="1337"/>
      <c r="L16" s="1337">
        <f t="shared" si="0"/>
        <v>0</v>
      </c>
      <c r="M16" s="1337"/>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2079</v>
      </c>
      <c r="C18" s="1338" t="s">
        <v>2080</v>
      </c>
      <c r="D18" s="1339" t="s">
        <v>2082</v>
      </c>
      <c r="E18" s="1340">
        <v>0</v>
      </c>
      <c r="F18" s="1340">
        <v>1562378</v>
      </c>
      <c r="G18" s="1340">
        <v>0</v>
      </c>
      <c r="H18" s="1340">
        <v>0</v>
      </c>
      <c r="I18" s="1340">
        <v>1740204</v>
      </c>
      <c r="J18" s="1340">
        <v>0</v>
      </c>
      <c r="K18" s="1340">
        <v>314211</v>
      </c>
      <c r="L18" s="1337">
        <f t="shared" si="0"/>
        <v>2054415</v>
      </c>
      <c r="M18" s="1340"/>
    </row>
    <row r="19" spans="2:14" ht="20.100000000000001" customHeight="1" x14ac:dyDescent="0.2">
      <c r="B19" s="1334" t="s">
        <v>2079</v>
      </c>
      <c r="C19" s="1338" t="s">
        <v>2080</v>
      </c>
      <c r="D19" s="1339" t="s">
        <v>2082</v>
      </c>
      <c r="E19" s="1939">
        <v>0</v>
      </c>
      <c r="F19" s="1939">
        <v>635092</v>
      </c>
      <c r="G19" s="1939">
        <v>0</v>
      </c>
      <c r="H19" s="1939">
        <v>0</v>
      </c>
      <c r="I19" s="1939">
        <v>0</v>
      </c>
      <c r="J19" s="1939">
        <v>635092</v>
      </c>
      <c r="K19" s="1939">
        <v>0</v>
      </c>
      <c r="L19" s="1940">
        <f t="shared" si="0"/>
        <v>0</v>
      </c>
      <c r="M19" s="1939">
        <v>2830757</v>
      </c>
    </row>
    <row r="20" spans="2:14" ht="20.100000000000001" customHeight="1" x14ac:dyDescent="0.2">
      <c r="B20" s="1334" t="s">
        <v>2088</v>
      </c>
      <c r="C20" s="1338"/>
      <c r="D20" s="1339"/>
      <c r="E20" s="1941"/>
      <c r="F20" s="1941">
        <f t="shared" ref="F20:K20" si="2">SUM(F18:F19)</f>
        <v>2197470</v>
      </c>
      <c r="G20" s="1941">
        <f t="shared" si="2"/>
        <v>0</v>
      </c>
      <c r="H20" s="1941">
        <f t="shared" si="2"/>
        <v>0</v>
      </c>
      <c r="I20" s="1941">
        <f t="shared" si="2"/>
        <v>1740204</v>
      </c>
      <c r="J20" s="1941">
        <f t="shared" si="2"/>
        <v>635092</v>
      </c>
      <c r="K20" s="1941">
        <f t="shared" si="2"/>
        <v>314211</v>
      </c>
      <c r="L20" s="1941">
        <f t="shared" si="0"/>
        <v>2054415</v>
      </c>
      <c r="M20" s="1941"/>
    </row>
    <row r="21" spans="2:14" ht="20.100000000000001" customHeight="1" x14ac:dyDescent="0.2">
      <c r="B21" s="1334"/>
      <c r="C21" s="1338"/>
      <c r="D21" s="1339"/>
      <c r="E21" s="1337"/>
      <c r="F21" s="1337"/>
      <c r="G21" s="1337"/>
      <c r="H21" s="1337"/>
      <c r="I21" s="1337"/>
      <c r="J21" s="1337"/>
      <c r="K21" s="1337"/>
      <c r="L21" s="1337">
        <f t="shared" si="0"/>
        <v>0</v>
      </c>
      <c r="M21" s="1337"/>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2162</v>
      </c>
      <c r="C23" s="1338" t="s">
        <v>2084</v>
      </c>
      <c r="D23" s="1339" t="s">
        <v>2085</v>
      </c>
      <c r="E23" s="1340">
        <v>93584</v>
      </c>
      <c r="F23" s="1340">
        <v>4175</v>
      </c>
      <c r="G23" s="1340">
        <v>97759</v>
      </c>
      <c r="H23" s="1340">
        <v>0</v>
      </c>
      <c r="I23" s="1340">
        <v>0</v>
      </c>
      <c r="J23" s="1340">
        <v>0</v>
      </c>
      <c r="K23" s="1340">
        <v>0</v>
      </c>
      <c r="L23" s="1337">
        <f t="shared" si="0"/>
        <v>97759</v>
      </c>
      <c r="M23" s="1340">
        <v>121809</v>
      </c>
    </row>
    <row r="24" spans="2:14" ht="20.100000000000001" customHeight="1" x14ac:dyDescent="0.2">
      <c r="B24" s="1334" t="s">
        <v>2163</v>
      </c>
      <c r="C24" s="1338" t="s">
        <v>2084</v>
      </c>
      <c r="D24" s="1339" t="s">
        <v>2086</v>
      </c>
      <c r="E24" s="1939">
        <v>0</v>
      </c>
      <c r="F24" s="1939">
        <v>86699</v>
      </c>
      <c r="G24" s="1939">
        <v>0</v>
      </c>
      <c r="H24" s="1939">
        <v>0</v>
      </c>
      <c r="I24" s="1939">
        <v>87781</v>
      </c>
      <c r="J24" s="1939">
        <v>0</v>
      </c>
      <c r="K24" s="1939">
        <v>1500</v>
      </c>
      <c r="L24" s="1940">
        <f t="shared" si="0"/>
        <v>89281</v>
      </c>
      <c r="M24" s="1939">
        <v>118627</v>
      </c>
    </row>
    <row r="25" spans="2:14" ht="20.100000000000001" customHeight="1" x14ac:dyDescent="0.2">
      <c r="B25" s="1334"/>
      <c r="C25" s="1338"/>
      <c r="D25" s="1339"/>
      <c r="E25" s="1941">
        <f>SUM(E23:E24)</f>
        <v>93584</v>
      </c>
      <c r="F25" s="1941">
        <f t="shared" ref="F25:K25" si="3">SUM(F23:F24)</f>
        <v>90874</v>
      </c>
      <c r="G25" s="1941">
        <f t="shared" si="3"/>
        <v>97759</v>
      </c>
      <c r="H25" s="1941">
        <f t="shared" si="3"/>
        <v>0</v>
      </c>
      <c r="I25" s="1941">
        <f t="shared" si="3"/>
        <v>87781</v>
      </c>
      <c r="J25" s="1941">
        <f t="shared" si="3"/>
        <v>0</v>
      </c>
      <c r="K25" s="1941">
        <f t="shared" si="3"/>
        <v>1500</v>
      </c>
      <c r="L25" s="1941">
        <f t="shared" si="0"/>
        <v>187040</v>
      </c>
      <c r="M25" s="1941"/>
    </row>
    <row r="26" spans="2:14" ht="20.100000000000001" customHeight="1" x14ac:dyDescent="0.2">
      <c r="B26" s="1334"/>
      <c r="C26" s="1338"/>
      <c r="D26" s="1339"/>
      <c r="E26" s="1940"/>
      <c r="F26" s="1940"/>
      <c r="G26" s="1940"/>
      <c r="H26" s="1940"/>
      <c r="I26" s="1940"/>
      <c r="J26" s="1940"/>
      <c r="K26" s="1940"/>
      <c r="L26" s="1337">
        <f t="shared" si="0"/>
        <v>0</v>
      </c>
      <c r="M26" s="1337"/>
    </row>
    <row r="27" spans="2:14" ht="20.100000000000001" customHeight="1" thickBot="1" x14ac:dyDescent="0.25">
      <c r="B27" s="1935" t="s">
        <v>2137</v>
      </c>
      <c r="C27" s="1338"/>
      <c r="D27" s="1339"/>
      <c r="E27" s="1943">
        <f>SUM(E25+E20+E15)</f>
        <v>2255754</v>
      </c>
      <c r="F27" s="1943">
        <f t="shared" ref="F27:K27" si="4">SUM(F25+F20+F15)</f>
        <v>2587256</v>
      </c>
      <c r="G27" s="1943">
        <f t="shared" si="4"/>
        <v>1750708</v>
      </c>
      <c r="H27" s="1943">
        <f t="shared" si="4"/>
        <v>545726</v>
      </c>
      <c r="I27" s="1943">
        <f t="shared" si="4"/>
        <v>2089892</v>
      </c>
      <c r="J27" s="1943">
        <f t="shared" si="4"/>
        <v>635092</v>
      </c>
      <c r="K27" s="1943">
        <f t="shared" si="4"/>
        <v>315711</v>
      </c>
      <c r="L27" s="1337">
        <f t="shared" si="0"/>
        <v>4156311</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30&amp;R&amp;8Page 30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FD200-E7E5-4CC5-A016-5B833971301F}">
  <dimension ref="B1:N152"/>
  <sheetViews>
    <sheetView showGridLines="0" topLeftCell="A9" zoomScaleNormal="100" workbookViewId="0">
      <selection activeCell="A9" sqref="A9:F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0" t="str">
        <f>'Single Audit Cover'!A7</f>
        <v>Franklin Jefferson Co Sp Ed Dist</v>
      </c>
      <c r="C1" s="2443"/>
      <c r="D1" s="2443"/>
      <c r="E1" s="2443"/>
      <c r="F1" s="2443"/>
      <c r="G1" s="2443"/>
      <c r="H1" s="2443"/>
      <c r="I1" s="2443"/>
      <c r="J1" s="2443"/>
      <c r="K1" s="2443"/>
      <c r="L1" s="2443"/>
      <c r="M1" s="2443"/>
    </row>
    <row r="2" spans="2:14" ht="15" x14ac:dyDescent="0.2">
      <c r="B2" s="2444">
        <f>'Single Audit Cover'!E7</f>
        <v>13041801060</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5" t="s">
        <v>2087</v>
      </c>
      <c r="C11" s="1335"/>
      <c r="D11" s="1336"/>
      <c r="E11" s="1337"/>
      <c r="F11" s="1337"/>
      <c r="G11" s="1337"/>
      <c r="H11" s="1337"/>
      <c r="I11" s="1337"/>
      <c r="J11" s="1337"/>
      <c r="K11" s="1337"/>
      <c r="L11" s="1337">
        <f>+G11+I11+K11</f>
        <v>0</v>
      </c>
      <c r="M11" s="1337"/>
    </row>
    <row r="12" spans="2:14" ht="20.100000000000001" customHeight="1" x14ac:dyDescent="0.2">
      <c r="B12" s="1935" t="s">
        <v>2077</v>
      </c>
      <c r="C12" s="1338"/>
      <c r="D12" s="1339"/>
      <c r="E12" s="1340"/>
      <c r="F12" s="1340"/>
      <c r="G12" s="1340"/>
      <c r="H12" s="1340"/>
      <c r="I12" s="1340"/>
      <c r="J12" s="1340"/>
      <c r="K12" s="1340"/>
      <c r="L12" s="1337">
        <f t="shared" ref="L12:L27" si="0">+G12+I12+K12</f>
        <v>0</v>
      </c>
      <c r="M12" s="1340"/>
    </row>
    <row r="13" spans="2:14" ht="20.100000000000001" customHeight="1" x14ac:dyDescent="0.2">
      <c r="B13" s="1334" t="s">
        <v>2089</v>
      </c>
      <c r="C13" s="1338"/>
      <c r="D13" s="1339"/>
      <c r="E13" s="1340"/>
      <c r="F13" s="1340"/>
      <c r="G13" s="1340"/>
      <c r="H13" s="1340"/>
      <c r="I13" s="1340"/>
      <c r="J13" s="1340"/>
      <c r="K13" s="1340"/>
      <c r="L13" s="1337">
        <f t="shared" si="0"/>
        <v>0</v>
      </c>
      <c r="M13" s="1340"/>
    </row>
    <row r="14" spans="2:14" ht="20.100000000000001" customHeight="1" x14ac:dyDescent="0.2">
      <c r="B14" s="1334" t="s">
        <v>2090</v>
      </c>
      <c r="C14" s="1338">
        <v>10.555</v>
      </c>
      <c r="D14" s="1339" t="s">
        <v>2092</v>
      </c>
      <c r="E14" s="1340">
        <v>10645</v>
      </c>
      <c r="F14" s="1340">
        <v>2756</v>
      </c>
      <c r="G14" s="1340">
        <v>10645</v>
      </c>
      <c r="H14" s="1340">
        <v>0</v>
      </c>
      <c r="I14" s="1340">
        <v>2756</v>
      </c>
      <c r="J14" s="1340">
        <v>0</v>
      </c>
      <c r="K14" s="1340">
        <v>0</v>
      </c>
      <c r="L14" s="1337">
        <f t="shared" si="0"/>
        <v>13401</v>
      </c>
      <c r="M14" s="1340"/>
    </row>
    <row r="15" spans="2:14" ht="20.100000000000001" customHeight="1" x14ac:dyDescent="0.2">
      <c r="B15" s="1334" t="s">
        <v>2091</v>
      </c>
      <c r="C15" s="1338">
        <v>10.555</v>
      </c>
      <c r="D15" s="1339" t="s">
        <v>2094</v>
      </c>
      <c r="E15" s="1939">
        <v>0</v>
      </c>
      <c r="F15" s="1939">
        <v>17303</v>
      </c>
      <c r="G15" s="1939">
        <v>0</v>
      </c>
      <c r="H15" s="1939">
        <v>0</v>
      </c>
      <c r="I15" s="1939">
        <v>17303</v>
      </c>
      <c r="J15" s="1939">
        <v>0</v>
      </c>
      <c r="K15" s="1939">
        <v>0</v>
      </c>
      <c r="L15" s="1940">
        <f t="shared" si="0"/>
        <v>17303</v>
      </c>
      <c r="M15" s="1939"/>
    </row>
    <row r="16" spans="2:14" ht="20.100000000000001" customHeight="1" x14ac:dyDescent="0.2">
      <c r="B16" s="1334"/>
      <c r="C16" s="1338"/>
      <c r="D16" s="1339"/>
      <c r="E16" s="1941">
        <f>SUM(E14:E15)</f>
        <v>10645</v>
      </c>
      <c r="F16" s="1941">
        <f t="shared" ref="F16:K16" si="1">SUM(F14:F15)</f>
        <v>20059</v>
      </c>
      <c r="G16" s="1941">
        <f t="shared" si="1"/>
        <v>10645</v>
      </c>
      <c r="H16" s="1941">
        <f t="shared" si="1"/>
        <v>0</v>
      </c>
      <c r="I16" s="1941">
        <f t="shared" si="1"/>
        <v>20059</v>
      </c>
      <c r="J16" s="1941">
        <f t="shared" si="1"/>
        <v>0</v>
      </c>
      <c r="K16" s="1941">
        <f t="shared" si="1"/>
        <v>0</v>
      </c>
      <c r="L16" s="1941">
        <f t="shared" si="0"/>
        <v>30704</v>
      </c>
      <c r="M16" s="1941"/>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2095</v>
      </c>
      <c r="C18" s="1338"/>
      <c r="D18" s="1339"/>
      <c r="E18" s="1340"/>
      <c r="F18" s="1340"/>
      <c r="G18" s="1340"/>
      <c r="H18" s="1340"/>
      <c r="I18" s="1340"/>
      <c r="J18" s="1340"/>
      <c r="K18" s="1340"/>
      <c r="L18" s="1337">
        <f t="shared" si="0"/>
        <v>0</v>
      </c>
      <c r="M18" s="1340"/>
    </row>
    <row r="19" spans="2:14" ht="20.100000000000001" customHeight="1" x14ac:dyDescent="0.2">
      <c r="B19" s="1334" t="s">
        <v>2090</v>
      </c>
      <c r="C19" s="1338">
        <v>10.553000000000001</v>
      </c>
      <c r="D19" s="1339" t="s">
        <v>2096</v>
      </c>
      <c r="E19" s="1340">
        <v>7169</v>
      </c>
      <c r="F19" s="1340">
        <v>1868</v>
      </c>
      <c r="G19" s="1340">
        <v>7169</v>
      </c>
      <c r="H19" s="1340">
        <v>0</v>
      </c>
      <c r="I19" s="1340">
        <v>1868</v>
      </c>
      <c r="J19" s="1340">
        <v>0</v>
      </c>
      <c r="K19" s="1340">
        <v>0</v>
      </c>
      <c r="L19" s="1337">
        <f t="shared" si="0"/>
        <v>9037</v>
      </c>
      <c r="M19" s="1340"/>
    </row>
    <row r="20" spans="2:14" ht="20.100000000000001" customHeight="1" x14ac:dyDescent="0.2">
      <c r="B20" s="1334" t="s">
        <v>2091</v>
      </c>
      <c r="C20" s="1338">
        <v>10.553000000000001</v>
      </c>
      <c r="D20" s="1339" t="s">
        <v>2097</v>
      </c>
      <c r="E20" s="1939">
        <v>0</v>
      </c>
      <c r="F20" s="1939">
        <v>12196</v>
      </c>
      <c r="G20" s="1939">
        <v>0</v>
      </c>
      <c r="H20" s="1939">
        <v>0</v>
      </c>
      <c r="I20" s="1939">
        <v>12196</v>
      </c>
      <c r="J20" s="1939">
        <v>0</v>
      </c>
      <c r="K20" s="1939">
        <v>0</v>
      </c>
      <c r="L20" s="1940">
        <f t="shared" si="0"/>
        <v>12196</v>
      </c>
      <c r="M20" s="1939"/>
    </row>
    <row r="21" spans="2:14" ht="20.100000000000001" customHeight="1" x14ac:dyDescent="0.2">
      <c r="B21" s="1334"/>
      <c r="C21" s="1338"/>
      <c r="D21" s="1339"/>
      <c r="E21" s="1941">
        <f>SUM(E19:E20)</f>
        <v>7169</v>
      </c>
      <c r="F21" s="1941">
        <f t="shared" ref="F21:K21" si="2">SUM(F19:F20)</f>
        <v>14064</v>
      </c>
      <c r="G21" s="1941">
        <f t="shared" si="2"/>
        <v>7169</v>
      </c>
      <c r="H21" s="1941">
        <f t="shared" si="2"/>
        <v>0</v>
      </c>
      <c r="I21" s="1941">
        <f t="shared" si="2"/>
        <v>14064</v>
      </c>
      <c r="J21" s="1941">
        <f t="shared" si="2"/>
        <v>0</v>
      </c>
      <c r="K21" s="1941">
        <f t="shared" si="2"/>
        <v>0</v>
      </c>
      <c r="L21" s="1941">
        <f t="shared" si="0"/>
        <v>21233</v>
      </c>
      <c r="M21" s="1941"/>
    </row>
    <row r="22" spans="2:14" ht="20.100000000000001" customHeight="1" x14ac:dyDescent="0.2">
      <c r="B22" s="1334"/>
      <c r="C22" s="1338"/>
      <c r="D22" s="1339"/>
      <c r="E22" s="1337"/>
      <c r="F22" s="1337"/>
      <c r="G22" s="1337"/>
      <c r="H22" s="1337"/>
      <c r="I22" s="1337"/>
      <c r="J22" s="1337"/>
      <c r="K22" s="1337"/>
      <c r="L22" s="1337">
        <f t="shared" si="0"/>
        <v>0</v>
      </c>
      <c r="M22" s="1337"/>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9"/>
      <c r="F26" s="1939"/>
      <c r="G26" s="1939"/>
      <c r="H26" s="1939"/>
      <c r="I26" s="1939"/>
      <c r="J26" s="1939"/>
      <c r="K26" s="1939"/>
      <c r="L26" s="1940">
        <f t="shared" si="0"/>
        <v>0</v>
      </c>
      <c r="M26" s="1939"/>
    </row>
    <row r="27" spans="2:14" ht="20.100000000000001" customHeight="1" thickBot="1" x14ac:dyDescent="0.25">
      <c r="B27" s="1935" t="s">
        <v>2098</v>
      </c>
      <c r="C27" s="1338"/>
      <c r="D27" s="1339"/>
      <c r="E27" s="1943">
        <f>SUM(E16+E21)</f>
        <v>17814</v>
      </c>
      <c r="F27" s="1943">
        <f t="shared" ref="F27:K27" si="3">SUM(F16+F21)</f>
        <v>34123</v>
      </c>
      <c r="G27" s="1943">
        <f t="shared" si="3"/>
        <v>17814</v>
      </c>
      <c r="H27" s="1943">
        <f t="shared" si="3"/>
        <v>0</v>
      </c>
      <c r="I27" s="1943">
        <f t="shared" si="3"/>
        <v>34123</v>
      </c>
      <c r="J27" s="1943">
        <f t="shared" si="3"/>
        <v>0</v>
      </c>
      <c r="K27" s="1943">
        <f t="shared" si="3"/>
        <v>0</v>
      </c>
      <c r="L27" s="1943">
        <f t="shared" si="0"/>
        <v>51937</v>
      </c>
      <c r="M27" s="1943"/>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31&amp;R&amp;8Page 31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2" colorId="8" zoomScale="110" zoomScaleNormal="110" workbookViewId="0">
      <selection activeCell="C9" sqref="C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1168</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8" t="s">
        <v>1633</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8" t="s">
        <v>313</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t="s">
        <v>2132</v>
      </c>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1323</v>
      </c>
      <c r="B70" s="2081"/>
      <c r="C70" s="2081"/>
      <c r="D70" s="2081"/>
      <c r="E70" s="2082"/>
      <c r="F70" s="2082"/>
      <c r="G70" s="2082"/>
      <c r="H70" s="2082"/>
      <c r="I70" s="208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1320</v>
      </c>
      <c r="B83" s="2083"/>
      <c r="C83" s="2083"/>
      <c r="D83" s="208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5" t="s">
        <v>2075</v>
      </c>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2065</v>
      </c>
      <c r="D114" s="207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1330</v>
      </c>
      <c r="D117" s="2076"/>
      <c r="E117" s="2077"/>
      <c r="F117" s="2077"/>
      <c r="G117" s="2077"/>
      <c r="H117" s="2077"/>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1901</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4294967293" verticalDpi="4294967293" r:id="rId1"/>
  <headerFooter differentOddEven="1" differentFirst="1" alignWithMargins="0">
    <oddHeader>&amp;L&amp;8Page &amp;P&amp;C &amp;R&amp;8Page &amp;P</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E3B54-99F1-4A7A-837C-A7B434C51967}">
  <dimension ref="B1:N152"/>
  <sheetViews>
    <sheetView showGridLines="0" topLeftCell="A22" zoomScaleNormal="100" workbookViewId="0">
      <selection activeCell="A9" sqref="A9:F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0" t="str">
        <f>'Single Audit Cover'!A7</f>
        <v>Franklin Jefferson Co Sp Ed Dist</v>
      </c>
      <c r="C1" s="2443"/>
      <c r="D1" s="2443"/>
      <c r="E1" s="2443"/>
      <c r="F1" s="2443"/>
      <c r="G1" s="2443"/>
      <c r="H1" s="2443"/>
      <c r="I1" s="2443"/>
      <c r="J1" s="2443"/>
      <c r="K1" s="2443"/>
      <c r="L1" s="2443"/>
      <c r="M1" s="2443"/>
    </row>
    <row r="2" spans="2:14" ht="15" x14ac:dyDescent="0.2">
      <c r="B2" s="2444">
        <f>'Single Audit Cover'!E7</f>
        <v>13041801060</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5" t="s">
        <v>2099</v>
      </c>
      <c r="C11" s="1335"/>
      <c r="D11" s="1336"/>
      <c r="E11" s="1337"/>
      <c r="F11" s="1337"/>
      <c r="G11" s="1337"/>
      <c r="H11" s="1337"/>
      <c r="I11" s="1337"/>
      <c r="J11" s="1337"/>
      <c r="K11" s="1337"/>
      <c r="L11" s="1337">
        <f>+G11+I11+K11</f>
        <v>0</v>
      </c>
      <c r="M11" s="1337"/>
    </row>
    <row r="12" spans="2:14" ht="20.100000000000001" customHeight="1" x14ac:dyDescent="0.2">
      <c r="B12" s="1935" t="s">
        <v>2100</v>
      </c>
      <c r="C12" s="1338"/>
      <c r="D12" s="1339"/>
      <c r="E12" s="1340"/>
      <c r="F12" s="1340"/>
      <c r="G12" s="1340"/>
      <c r="H12" s="1340"/>
      <c r="I12" s="1340"/>
      <c r="J12" s="1340"/>
      <c r="K12" s="1340"/>
      <c r="L12" s="1337">
        <f t="shared" ref="L12:L27" si="0">+G12+I12+K12</f>
        <v>0</v>
      </c>
      <c r="M12" s="1340"/>
    </row>
    <row r="13" spans="2:14" ht="20.100000000000001" customHeight="1" x14ac:dyDescent="0.2">
      <c r="B13" s="1334" t="s">
        <v>2101</v>
      </c>
      <c r="C13" s="1338"/>
      <c r="D13" s="1339"/>
      <c r="E13" s="1340"/>
      <c r="F13" s="1340"/>
      <c r="G13" s="1340"/>
      <c r="H13" s="1340"/>
      <c r="I13" s="1340"/>
      <c r="J13" s="1340"/>
      <c r="K13" s="1340"/>
      <c r="L13" s="1337">
        <f t="shared" si="0"/>
        <v>0</v>
      </c>
      <c r="M13" s="1340"/>
    </row>
    <row r="14" spans="2:14" ht="20.100000000000001" customHeight="1" x14ac:dyDescent="0.2">
      <c r="B14" s="1334" t="s">
        <v>2102</v>
      </c>
      <c r="C14" s="1338">
        <v>93.778000000000006</v>
      </c>
      <c r="D14" s="1339" t="s">
        <v>2104</v>
      </c>
      <c r="E14" s="1340">
        <v>45292</v>
      </c>
      <c r="F14" s="1340">
        <v>0</v>
      </c>
      <c r="G14" s="1340">
        <v>45292</v>
      </c>
      <c r="H14" s="1340">
        <v>0</v>
      </c>
      <c r="I14" s="1340">
        <v>0</v>
      </c>
      <c r="J14" s="1340">
        <v>0</v>
      </c>
      <c r="K14" s="1340">
        <v>0</v>
      </c>
      <c r="L14" s="1337">
        <f t="shared" si="0"/>
        <v>45292</v>
      </c>
      <c r="M14" s="1340"/>
    </row>
    <row r="15" spans="2:14" ht="20.100000000000001" customHeight="1" x14ac:dyDescent="0.2">
      <c r="B15" s="1334" t="s">
        <v>2103</v>
      </c>
      <c r="C15" s="1338">
        <v>93.778000000000006</v>
      </c>
      <c r="D15" s="1339" t="s">
        <v>2105</v>
      </c>
      <c r="E15" s="1340">
        <v>0</v>
      </c>
      <c r="F15" s="1340">
        <v>73699</v>
      </c>
      <c r="G15" s="1340">
        <v>0</v>
      </c>
      <c r="H15" s="1340">
        <v>0</v>
      </c>
      <c r="I15" s="1340">
        <v>73699</v>
      </c>
      <c r="J15" s="1340">
        <v>0</v>
      </c>
      <c r="K15" s="1340">
        <v>0</v>
      </c>
      <c r="L15" s="1337">
        <f t="shared" si="0"/>
        <v>73699</v>
      </c>
      <c r="M15" s="1340"/>
    </row>
    <row r="16" spans="2:14" ht="20.100000000000001" customHeight="1" x14ac:dyDescent="0.2">
      <c r="B16" s="1334"/>
      <c r="C16" s="1338"/>
      <c r="D16" s="1339"/>
      <c r="E16" s="1939"/>
      <c r="F16" s="1939"/>
      <c r="G16" s="1939"/>
      <c r="H16" s="1939"/>
      <c r="I16" s="1939"/>
      <c r="J16" s="1939"/>
      <c r="K16" s="1939"/>
      <c r="L16" s="1940">
        <f t="shared" si="0"/>
        <v>0</v>
      </c>
      <c r="M16" s="1939"/>
    </row>
    <row r="17" spans="2:14" ht="20.100000000000001" customHeight="1" thickBot="1" x14ac:dyDescent="0.25">
      <c r="B17" s="1935" t="s">
        <v>2106</v>
      </c>
      <c r="C17" s="1338"/>
      <c r="D17" s="1339"/>
      <c r="E17" s="1942">
        <f>SUM(E14:E16)</f>
        <v>45292</v>
      </c>
      <c r="F17" s="1942">
        <f t="shared" ref="F17:K17" si="1">SUM(F14:F16)</f>
        <v>73699</v>
      </c>
      <c r="G17" s="1942">
        <f t="shared" si="1"/>
        <v>45292</v>
      </c>
      <c r="H17" s="1942">
        <f t="shared" si="1"/>
        <v>0</v>
      </c>
      <c r="I17" s="1942">
        <f t="shared" si="1"/>
        <v>73699</v>
      </c>
      <c r="J17" s="1942">
        <f t="shared" si="1"/>
        <v>0</v>
      </c>
      <c r="K17" s="1942">
        <f t="shared" si="1"/>
        <v>0</v>
      </c>
      <c r="L17" s="1942">
        <f t="shared" si="0"/>
        <v>118991</v>
      </c>
      <c r="M17" s="1942"/>
    </row>
    <row r="18" spans="2:14" ht="20.100000000000001" customHeight="1" x14ac:dyDescent="0.2">
      <c r="B18" s="1334"/>
      <c r="C18" s="1338"/>
      <c r="D18" s="1339"/>
      <c r="E18" s="1337"/>
      <c r="F18" s="1337"/>
      <c r="G18" s="1337"/>
      <c r="H18" s="1337"/>
      <c r="I18" s="1337"/>
      <c r="J18" s="1337"/>
      <c r="K18" s="1337"/>
      <c r="L18" s="1337">
        <f t="shared" si="0"/>
        <v>0</v>
      </c>
      <c r="M18" s="1337"/>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935" t="s">
        <v>2107</v>
      </c>
      <c r="C27" s="1338"/>
      <c r="D27" s="1339"/>
      <c r="E27" s="1340">
        <f>SUM(E17+' SEFA (2)'!E27+' SEFA'!E27)</f>
        <v>2318860</v>
      </c>
      <c r="F27" s="1340">
        <f>SUM(F17+' SEFA (2)'!F27+' SEFA'!F27)</f>
        <v>2695078</v>
      </c>
      <c r="G27" s="1340">
        <f>SUM(G17+' SEFA (2)'!G27+' SEFA'!G27)</f>
        <v>1813814</v>
      </c>
      <c r="H27" s="1340">
        <f>SUM(H17+' SEFA (2)'!H27+' SEFA'!H27)</f>
        <v>545726</v>
      </c>
      <c r="I27" s="1340">
        <f>SUM(I17+' SEFA (2)'!I27+' SEFA'!I27)</f>
        <v>2197714</v>
      </c>
      <c r="J27" s="1340">
        <f>SUM(J17+' SEFA (2)'!J27+' SEFA'!J27)</f>
        <v>635092</v>
      </c>
      <c r="K27" s="1340">
        <f>SUM(K17+' SEFA (2)'!K27+' SEFA'!K27)</f>
        <v>315711</v>
      </c>
      <c r="L27" s="1337">
        <f t="shared" si="0"/>
        <v>4327239</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32&amp;R&amp;8Page 32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37" sqref="A37:C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Franklin Jefferson Co Sp Ed Dist</v>
      </c>
      <c r="B1" s="2448"/>
      <c r="C1" s="2448"/>
      <c r="D1" s="2448"/>
      <c r="E1" s="2448"/>
      <c r="F1" s="2448"/>
    </row>
    <row r="2" spans="1:7" ht="13.5" customHeight="1" x14ac:dyDescent="0.2">
      <c r="A2" s="2444">
        <f>'Single Audit Cover'!E7</f>
        <v>13041801060</v>
      </c>
      <c r="B2" s="2444"/>
      <c r="C2" s="2444"/>
      <c r="D2" s="2444"/>
      <c r="E2" s="2444"/>
      <c r="F2" s="2444"/>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2108</v>
      </c>
      <c r="B7" s="2447"/>
      <c r="C7" s="2447"/>
      <c r="D7" s="2447"/>
      <c r="E7" s="2447"/>
      <c r="F7" s="244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20.25" customHeight="1" x14ac:dyDescent="0.2">
      <c r="A13" s="2447" t="s">
        <v>2109</v>
      </c>
      <c r="B13" s="2447"/>
      <c r="C13" s="2447"/>
      <c r="D13" s="2447"/>
      <c r="E13" s="2447"/>
      <c r="F13" s="2447"/>
    </row>
    <row r="14" spans="1:7" ht="9.75" customHeight="1" x14ac:dyDescent="0.2">
      <c r="C14" s="1257"/>
      <c r="D14" s="1257"/>
    </row>
    <row r="15" spans="1:7" ht="13.5" customHeight="1" x14ac:dyDescent="0.2">
      <c r="C15" s="1843" t="s">
        <v>1270</v>
      </c>
      <c r="D15" s="2452" t="s">
        <v>1269</v>
      </c>
      <c r="E15" s="2452"/>
      <c r="F15" s="2452"/>
    </row>
    <row r="16" spans="1:7" ht="13.5" customHeight="1" x14ac:dyDescent="0.2">
      <c r="A16" s="1279"/>
      <c r="B16" s="1273" t="s">
        <v>1268</v>
      </c>
      <c r="C16" s="1843" t="s">
        <v>1267</v>
      </c>
      <c r="D16" s="2453" t="s">
        <v>1588</v>
      </c>
      <c r="E16" s="2453"/>
      <c r="F16" s="2453"/>
    </row>
    <row r="17" spans="1:6" ht="20.45" customHeight="1" x14ac:dyDescent="0.2">
      <c r="A17" s="1280"/>
      <c r="B17" s="1281" t="s">
        <v>2165</v>
      </c>
      <c r="C17" s="1282" t="s">
        <v>2080</v>
      </c>
      <c r="D17" s="2451"/>
      <c r="E17" s="2451"/>
      <c r="F17" s="2451"/>
    </row>
    <row r="18" spans="1:6" ht="20.65" customHeight="1" x14ac:dyDescent="0.2">
      <c r="A18" s="1280"/>
      <c r="B18" s="1281" t="s">
        <v>2166</v>
      </c>
      <c r="C18" s="1282"/>
      <c r="D18" s="2451">
        <v>1788.83</v>
      </c>
      <c r="E18" s="2451"/>
      <c r="F18" s="2451"/>
    </row>
    <row r="19" spans="1:6" ht="20.65" customHeight="1" x14ac:dyDescent="0.2">
      <c r="A19" s="1280"/>
      <c r="B19" s="1281" t="s">
        <v>2167</v>
      </c>
      <c r="C19" s="1282"/>
      <c r="D19" s="2451">
        <v>3903.9</v>
      </c>
      <c r="E19" s="2451"/>
      <c r="F19" s="2451"/>
    </row>
    <row r="20" spans="1:6" ht="20.65" customHeight="1" x14ac:dyDescent="0.2">
      <c r="A20" s="1280"/>
      <c r="B20" s="1281" t="s">
        <v>2168</v>
      </c>
      <c r="C20" s="1282"/>
      <c r="D20" s="2451">
        <v>20844</v>
      </c>
      <c r="E20" s="2451"/>
      <c r="F20" s="2451"/>
    </row>
    <row r="21" spans="1:6" ht="20.65" customHeight="1" x14ac:dyDescent="0.2">
      <c r="A21" s="1280"/>
      <c r="B21" s="1281" t="s">
        <v>2169</v>
      </c>
      <c r="C21" s="1282"/>
      <c r="D21" s="2451">
        <v>84977</v>
      </c>
      <c r="E21" s="2451"/>
      <c r="F21" s="2451"/>
    </row>
    <row r="22" spans="1:6" ht="20.65" customHeight="1" x14ac:dyDescent="0.2">
      <c r="A22" s="1280"/>
      <c r="B22" s="1281" t="s">
        <v>2170</v>
      </c>
      <c r="C22" s="1282"/>
      <c r="D22" s="2451">
        <v>32092</v>
      </c>
      <c r="E22" s="2451"/>
      <c r="F22" s="2451"/>
    </row>
    <row r="23" spans="1:6" ht="20.65" customHeight="1" x14ac:dyDescent="0.2">
      <c r="A23" s="1280"/>
      <c r="B23" s="1281" t="s">
        <v>2171</v>
      </c>
      <c r="C23" s="1282"/>
      <c r="D23" s="2451">
        <v>35526</v>
      </c>
      <c r="E23" s="2451"/>
      <c r="F23" s="2451"/>
    </row>
    <row r="24" spans="1:6" ht="20.65" customHeight="1" x14ac:dyDescent="0.2">
      <c r="A24" s="1280"/>
      <c r="B24" s="1281" t="s">
        <v>2172</v>
      </c>
      <c r="C24" s="1282"/>
      <c r="D24" s="2451">
        <v>104691</v>
      </c>
      <c r="E24" s="2451"/>
      <c r="F24" s="2451"/>
    </row>
    <row r="25" spans="1:6" ht="20.65" customHeight="1" x14ac:dyDescent="0.2">
      <c r="A25" s="1280"/>
      <c r="B25" s="1281" t="s">
        <v>2173</v>
      </c>
      <c r="C25" s="1282"/>
      <c r="D25" s="2451">
        <v>51984</v>
      </c>
      <c r="E25" s="2451"/>
      <c r="F25" s="2451"/>
    </row>
    <row r="26" spans="1:6" ht="20.65" customHeight="1" x14ac:dyDescent="0.2">
      <c r="A26" s="1280"/>
      <c r="B26" s="1281" t="s">
        <v>2174</v>
      </c>
      <c r="C26" s="1282"/>
      <c r="D26" s="2451">
        <v>57389</v>
      </c>
      <c r="E26" s="2451"/>
      <c r="F26" s="2451"/>
    </row>
    <row r="27" spans="1:6" ht="20.65" customHeight="1" x14ac:dyDescent="0.2">
      <c r="A27" s="1280"/>
      <c r="B27" s="1281" t="s">
        <v>2175</v>
      </c>
      <c r="C27" s="1282"/>
      <c r="D27" s="2451">
        <v>14835</v>
      </c>
      <c r="E27" s="2451"/>
      <c r="F27" s="2451"/>
    </row>
    <row r="28" spans="1:6" ht="20.65" customHeight="1" x14ac:dyDescent="0.2">
      <c r="A28" s="1280"/>
      <c r="B28" s="1281" t="s">
        <v>2176</v>
      </c>
      <c r="C28" s="1282"/>
      <c r="D28" s="2451">
        <v>5075</v>
      </c>
      <c r="E28" s="2451"/>
      <c r="F28" s="2451"/>
    </row>
    <row r="29" spans="1:6" ht="20.65" customHeight="1" x14ac:dyDescent="0.2">
      <c r="A29" s="1280"/>
      <c r="B29" s="1281" t="s">
        <v>2177</v>
      </c>
      <c r="C29" s="1282"/>
      <c r="D29" s="2451">
        <v>14835</v>
      </c>
      <c r="E29" s="2451"/>
      <c r="F29" s="2451"/>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55" t="s">
        <v>2110</v>
      </c>
      <c r="B32" s="2455"/>
      <c r="C32" s="2455"/>
      <c r="D32" s="2455"/>
      <c r="E32" s="2455"/>
      <c r="F32" s="2455"/>
    </row>
    <row r="33" spans="1:6" ht="13.5" customHeight="1" x14ac:dyDescent="0.2">
      <c r="A33" s="328" t="s">
        <v>1434</v>
      </c>
      <c r="B33" s="328"/>
      <c r="C33" s="1285">
        <v>0</v>
      </c>
      <c r="D33" s="1900"/>
      <c r="E33" s="1283"/>
    </row>
    <row r="34" spans="1:6" ht="13.5" customHeight="1" x14ac:dyDescent="0.2">
      <c r="A34" s="328" t="s">
        <v>1834</v>
      </c>
      <c r="B34" s="328"/>
      <c r="C34" s="1286">
        <v>0</v>
      </c>
      <c r="D34" s="1900" t="s">
        <v>1589</v>
      </c>
      <c r="E34" s="2456">
        <f>+C33+C34</f>
        <v>0</v>
      </c>
      <c r="F34" s="2457"/>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v>0</v>
      </c>
      <c r="D38" s="1900"/>
      <c r="E38" s="1283"/>
    </row>
    <row r="39" spans="1:6" ht="14.25" customHeight="1" x14ac:dyDescent="0.2">
      <c r="A39" s="328"/>
      <c r="B39" s="328" t="s">
        <v>1436</v>
      </c>
      <c r="C39" s="1289">
        <v>0</v>
      </c>
      <c r="D39" s="1900"/>
      <c r="E39" s="1283"/>
    </row>
    <row r="40" spans="1:6" ht="14.25" customHeight="1" x14ac:dyDescent="0.2">
      <c r="A40" s="328"/>
      <c r="B40" s="328" t="s">
        <v>1437</v>
      </c>
      <c r="C40" s="1289">
        <v>0</v>
      </c>
      <c r="D40" s="1900"/>
      <c r="E40" s="1283"/>
    </row>
    <row r="41" spans="1:6" ht="14.25" customHeight="1" x14ac:dyDescent="0.2">
      <c r="A41" s="328"/>
      <c r="B41" s="328" t="s">
        <v>1438</v>
      </c>
      <c r="C41" s="1289">
        <v>0</v>
      </c>
      <c r="D41" s="1900"/>
      <c r="E41" s="1283"/>
    </row>
    <row r="42" spans="1:6" ht="14.25" customHeight="1" x14ac:dyDescent="0.2">
      <c r="A42" s="328" t="s">
        <v>1439</v>
      </c>
      <c r="B42" s="328"/>
      <c r="C42" s="1898">
        <v>0</v>
      </c>
      <c r="D42" s="1900"/>
      <c r="E42" s="1283"/>
    </row>
    <row r="43" spans="1:6" ht="14.25" customHeight="1" x14ac:dyDescent="0.2">
      <c r="A43" s="328" t="s">
        <v>1440</v>
      </c>
      <c r="B43" s="328"/>
      <c r="C43" s="1290" t="s">
        <v>383</v>
      </c>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8" t="s">
        <v>1590</v>
      </c>
      <c r="C49" s="2458"/>
      <c r="D49" s="2458"/>
      <c r="E49" s="1396"/>
    </row>
    <row r="50" spans="1:5" s="1297" customFormat="1" ht="3.75" customHeight="1" x14ac:dyDescent="0.2">
      <c r="A50" s="1296"/>
      <c r="B50" s="1842"/>
      <c r="C50" s="1842"/>
      <c r="D50" s="1842"/>
      <c r="E50" s="1396"/>
    </row>
    <row r="51" spans="1:5" s="1297" customFormat="1" ht="20.25" customHeight="1" x14ac:dyDescent="0.2">
      <c r="A51" s="1298">
        <v>6</v>
      </c>
      <c r="B51" s="2454" t="s">
        <v>1551</v>
      </c>
      <c r="C51" s="2454"/>
      <c r="D51" s="2454"/>
    </row>
    <row r="52" spans="1:5" ht="14.25" customHeight="1" x14ac:dyDescent="0.2">
      <c r="A52" s="1298"/>
      <c r="B52" s="2454"/>
      <c r="C52" s="2454"/>
      <c r="D52" s="245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33&amp;R&amp;8Page 33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D344-7EC2-49D6-A233-FE833ADE9E5C}">
  <sheetPr>
    <pageSetUpPr fitToPage="1"/>
  </sheetPr>
  <dimension ref="A1:G47"/>
  <sheetViews>
    <sheetView showGridLines="0" topLeftCell="A3" zoomScale="120" zoomScaleNormal="120" workbookViewId="0">
      <selection activeCell="B12" sqref="B12:F2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Franklin Jefferson Co Sp Ed Dist</v>
      </c>
      <c r="B1" s="2448"/>
      <c r="C1" s="2448"/>
      <c r="D1" s="2448"/>
      <c r="E1" s="2448"/>
      <c r="F1" s="2448"/>
    </row>
    <row r="2" spans="1:7" ht="13.5" customHeight="1" x14ac:dyDescent="0.2">
      <c r="A2" s="2444">
        <f>'Single Audit Cover'!E7</f>
        <v>13041801060</v>
      </c>
      <c r="B2" s="2444"/>
      <c r="C2" s="2444"/>
      <c r="D2" s="2444"/>
      <c r="E2" s="2444"/>
      <c r="F2" s="2444"/>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12.75" customHeight="1" x14ac:dyDescent="0.2">
      <c r="C5" s="317"/>
      <c r="D5" s="317"/>
    </row>
    <row r="6" spans="1:7" ht="12" customHeight="1" x14ac:dyDescent="0.2">
      <c r="A6" s="1276"/>
      <c r="B6" s="1277"/>
      <c r="C6" s="1899"/>
      <c r="D6" s="1277"/>
      <c r="E6" s="1899"/>
      <c r="F6" s="1277"/>
      <c r="G6" s="1275"/>
    </row>
    <row r="7" spans="1:7" x14ac:dyDescent="0.2">
      <c r="A7" s="1273" t="s">
        <v>2164</v>
      </c>
      <c r="C7" s="1257"/>
      <c r="D7" s="1257"/>
    </row>
    <row r="8" spans="1:7" ht="21.75" customHeight="1" x14ac:dyDescent="0.2">
      <c r="A8" s="2447" t="s">
        <v>2109</v>
      </c>
      <c r="B8" s="2447"/>
      <c r="C8" s="2447"/>
      <c r="D8" s="2447"/>
      <c r="E8" s="2447"/>
      <c r="F8" s="2447"/>
    </row>
    <row r="9" spans="1:7" ht="13.5" customHeight="1" x14ac:dyDescent="0.2">
      <c r="C9" s="1257"/>
      <c r="D9" s="1257"/>
    </row>
    <row r="10" spans="1:7" ht="13.5" customHeight="1" x14ac:dyDescent="0.2">
      <c r="C10" s="1937" t="s">
        <v>1270</v>
      </c>
      <c r="D10" s="2452" t="s">
        <v>1269</v>
      </c>
      <c r="E10" s="2452"/>
      <c r="F10" s="2452"/>
    </row>
    <row r="11" spans="1:7" ht="13.5" customHeight="1" x14ac:dyDescent="0.2">
      <c r="A11" s="1279"/>
      <c r="B11" s="1273" t="s">
        <v>1268</v>
      </c>
      <c r="C11" s="1937" t="s">
        <v>1267</v>
      </c>
      <c r="D11" s="2453" t="s">
        <v>1588</v>
      </c>
      <c r="E11" s="2453"/>
      <c r="F11" s="2453"/>
    </row>
    <row r="12" spans="1:7" ht="20.45" customHeight="1" x14ac:dyDescent="0.2">
      <c r="A12" s="1280"/>
      <c r="B12" s="1281" t="s">
        <v>2178</v>
      </c>
      <c r="C12" s="1282" t="s">
        <v>2080</v>
      </c>
      <c r="D12" s="2451">
        <v>14054</v>
      </c>
      <c r="E12" s="2451"/>
      <c r="F12" s="2451"/>
    </row>
    <row r="13" spans="1:7" ht="20.65" customHeight="1" x14ac:dyDescent="0.2">
      <c r="A13" s="1280"/>
      <c r="B13" s="1281" t="s">
        <v>2179</v>
      </c>
      <c r="C13" s="1282"/>
      <c r="D13" s="2451">
        <v>87519</v>
      </c>
      <c r="E13" s="2451"/>
      <c r="F13" s="2451"/>
    </row>
    <row r="14" spans="1:7" ht="20.65" customHeight="1" x14ac:dyDescent="0.2">
      <c r="A14" s="1280"/>
      <c r="B14" s="1281" t="s">
        <v>2180</v>
      </c>
      <c r="C14" s="1282"/>
      <c r="D14" s="2451">
        <v>14054</v>
      </c>
      <c r="E14" s="2451"/>
      <c r="F14" s="2451"/>
    </row>
    <row r="15" spans="1:7" ht="20.65" customHeight="1" x14ac:dyDescent="0.2">
      <c r="A15" s="1280"/>
      <c r="B15" s="1281" t="s">
        <v>2181</v>
      </c>
      <c r="C15" s="1282"/>
      <c r="D15" s="2451">
        <v>40583</v>
      </c>
      <c r="E15" s="2451"/>
      <c r="F15" s="2451"/>
    </row>
    <row r="16" spans="1:7" ht="20.65" customHeight="1" x14ac:dyDescent="0.2">
      <c r="A16" s="1280"/>
      <c r="B16" s="1281" t="s">
        <v>2182</v>
      </c>
      <c r="C16" s="1282"/>
      <c r="D16" s="2451">
        <v>24986</v>
      </c>
      <c r="E16" s="2451"/>
      <c r="F16" s="2451"/>
    </row>
    <row r="17" spans="1:6" ht="20.65" customHeight="1" x14ac:dyDescent="0.2">
      <c r="A17" s="1280"/>
      <c r="B17" s="1281" t="s">
        <v>2183</v>
      </c>
      <c r="C17" s="1282"/>
      <c r="D17" s="2451">
        <v>4870</v>
      </c>
      <c r="E17" s="2451"/>
      <c r="F17" s="2451"/>
    </row>
    <row r="18" spans="1:6" ht="20.65" customHeight="1" x14ac:dyDescent="0.2">
      <c r="A18" s="1280"/>
      <c r="B18" s="1281" t="s">
        <v>2184</v>
      </c>
      <c r="C18" s="1282"/>
      <c r="D18" s="2451">
        <v>21085</v>
      </c>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f>SUM(D12+D13+D14+D15+D16+D17+D18+'SEFA NOTES'!D29:F29+'SEFA NOTES'!D28:F28+'SEFA NOTES'!D27:F27+'SEFA NOTES'!D26:F26+'SEFA NOTES'!D25:F25+'SEFA NOTES'!D24:F24+'SEFA NOTES'!D23:F23+'SEFA NOTES'!D22:F22+'SEFA NOTES'!D21:F21+'SEFA NOTES'!D20:F20+'SEFA NOTES'!D19:F19+'SEFA NOTES'!D18:F18)</f>
        <v>635091.73</v>
      </c>
      <c r="E24" s="2451"/>
      <c r="F24" s="2451"/>
    </row>
    <row r="25" spans="1:6" ht="12" customHeight="1" x14ac:dyDescent="0.2">
      <c r="A25" s="328"/>
      <c r="B25" s="328"/>
      <c r="C25" s="1462"/>
      <c r="D25" s="1900"/>
      <c r="E25" s="1283"/>
    </row>
    <row r="26" spans="1:6" ht="12" customHeight="1" x14ac:dyDescent="0.2">
      <c r="A26" s="1284"/>
      <c r="B26" s="328"/>
      <c r="C26" s="1462"/>
      <c r="D26" s="1900"/>
      <c r="E26" s="1283"/>
    </row>
    <row r="27" spans="1:6" ht="30" customHeight="1" x14ac:dyDescent="0.2">
      <c r="A27" s="2455"/>
      <c r="B27" s="2455"/>
      <c r="C27" s="2455"/>
      <c r="D27" s="2455"/>
      <c r="E27" s="2455"/>
      <c r="F27" s="2455"/>
    </row>
    <row r="28" spans="1:6" ht="13.5" customHeight="1" x14ac:dyDescent="0.2">
      <c r="A28" s="328"/>
      <c r="B28" s="328"/>
      <c r="C28" s="1948"/>
      <c r="D28" s="1900"/>
      <c r="E28" s="1283"/>
    </row>
    <row r="29" spans="1:6" ht="13.5" customHeight="1" x14ac:dyDescent="0.2">
      <c r="A29" s="328"/>
      <c r="B29" s="328"/>
      <c r="C29" s="1948"/>
      <c r="D29" s="1900"/>
      <c r="E29" s="2459"/>
      <c r="F29" s="2460"/>
    </row>
    <row r="30" spans="1:6" ht="12" customHeight="1" x14ac:dyDescent="0.2">
      <c r="A30" s="328"/>
      <c r="B30" s="328"/>
      <c r="C30" s="1901"/>
      <c r="D30" s="1900"/>
      <c r="E30" s="1287"/>
      <c r="F30" s="1288"/>
    </row>
    <row r="31" spans="1:6" ht="13.5" customHeight="1" x14ac:dyDescent="0.2">
      <c r="A31" s="1284"/>
      <c r="B31" s="328"/>
      <c r="C31" s="1462"/>
      <c r="D31" s="1900"/>
      <c r="E31" s="1283"/>
    </row>
    <row r="32" spans="1:6" ht="14.25" customHeight="1" x14ac:dyDescent="0.2">
      <c r="A32" s="328"/>
      <c r="B32" s="328"/>
      <c r="C32" s="1902"/>
      <c r="D32" s="1900"/>
      <c r="E32" s="1283"/>
    </row>
    <row r="33" spans="1:6" ht="14.25" customHeight="1" x14ac:dyDescent="0.2">
      <c r="A33" s="328"/>
      <c r="B33" s="328"/>
      <c r="C33" s="1949"/>
      <c r="D33" s="1900"/>
      <c r="E33" s="1283"/>
    </row>
    <row r="34" spans="1:6" ht="14.25" customHeight="1" x14ac:dyDescent="0.2">
      <c r="A34" s="328"/>
      <c r="B34" s="328"/>
      <c r="C34" s="1949"/>
      <c r="D34" s="1900"/>
      <c r="E34" s="1283"/>
    </row>
    <row r="35" spans="1:6" ht="14.25" customHeight="1" x14ac:dyDescent="0.2">
      <c r="A35" s="328"/>
      <c r="B35" s="328"/>
      <c r="C35" s="1949"/>
      <c r="D35" s="1900"/>
      <c r="E35" s="1283"/>
    </row>
    <row r="36" spans="1:6" ht="14.25" customHeight="1" x14ac:dyDescent="0.2">
      <c r="A36" s="328"/>
      <c r="B36" s="328"/>
      <c r="C36" s="1949"/>
      <c r="D36" s="1900"/>
      <c r="E36" s="1283"/>
    </row>
    <row r="37" spans="1:6" ht="14.25" customHeight="1" x14ac:dyDescent="0.2">
      <c r="A37" s="328"/>
      <c r="B37" s="328"/>
      <c r="C37" s="1950"/>
      <c r="D37" s="1900"/>
      <c r="E37" s="1283"/>
    </row>
    <row r="38" spans="1:6" ht="14.25" customHeight="1" x14ac:dyDescent="0.2">
      <c r="A38" s="328"/>
      <c r="B38" s="328"/>
      <c r="C38" s="1949"/>
      <c r="D38" s="1900"/>
      <c r="E38" s="1283"/>
    </row>
    <row r="39" spans="1:6" ht="14.25" customHeight="1" x14ac:dyDescent="0.2">
      <c r="A39" s="328"/>
      <c r="B39" s="328"/>
      <c r="C39" s="1902"/>
      <c r="D39" s="1900"/>
      <c r="E39" s="1283"/>
    </row>
    <row r="40" spans="1:6" ht="13.5" customHeight="1" x14ac:dyDescent="0.2">
      <c r="B40" s="322"/>
      <c r="C40" s="1291"/>
      <c r="D40" s="1291"/>
    </row>
    <row r="41" spans="1:6" x14ac:dyDescent="0.2">
      <c r="A41" s="1292" t="s">
        <v>1730</v>
      </c>
      <c r="C41" s="317"/>
      <c r="D41" s="317"/>
    </row>
    <row r="42" spans="1:6" s="322" customFormat="1" ht="11.25" customHeight="1" x14ac:dyDescent="0.2">
      <c r="A42" s="1293"/>
      <c r="B42" s="1294"/>
      <c r="C42" s="1294"/>
      <c r="D42" s="1294"/>
      <c r="E42" s="1294"/>
      <c r="F42" s="1294"/>
    </row>
    <row r="43" spans="1:6" s="322" customFormat="1" ht="6" customHeight="1" x14ac:dyDescent="0.2">
      <c r="A43" s="1295"/>
    </row>
    <row r="44" spans="1:6" s="1297" customFormat="1" ht="23.25" customHeight="1" x14ac:dyDescent="0.2">
      <c r="A44" s="1296">
        <v>5</v>
      </c>
      <c r="B44" s="2458" t="s">
        <v>1590</v>
      </c>
      <c r="C44" s="2458"/>
      <c r="D44" s="2458"/>
      <c r="E44" s="1396"/>
    </row>
    <row r="45" spans="1:6" s="1297" customFormat="1" ht="3.75" customHeight="1" x14ac:dyDescent="0.2">
      <c r="A45" s="1296"/>
      <c r="B45" s="1936"/>
      <c r="C45" s="1936"/>
      <c r="D45" s="1936"/>
      <c r="E45" s="1396"/>
    </row>
    <row r="46" spans="1:6" s="1297" customFormat="1" ht="20.25" customHeight="1" x14ac:dyDescent="0.2">
      <c r="A46" s="1298">
        <v>6</v>
      </c>
      <c r="B46" s="2454" t="s">
        <v>1551</v>
      </c>
      <c r="C46" s="2454"/>
      <c r="D46" s="2454"/>
    </row>
    <row r="47" spans="1:6" ht="14.25" customHeight="1" x14ac:dyDescent="0.2">
      <c r="A47" s="1298"/>
      <c r="B47" s="2454"/>
      <c r="C47" s="2454"/>
      <c r="D47" s="2454"/>
    </row>
  </sheetData>
  <mergeCells count="25">
    <mergeCell ref="B46:D46"/>
    <mergeCell ref="B47:D47"/>
    <mergeCell ref="D22:F22"/>
    <mergeCell ref="D23:F23"/>
    <mergeCell ref="D24:F24"/>
    <mergeCell ref="A27:F27"/>
    <mergeCell ref="E29:F29"/>
    <mergeCell ref="B44:D44"/>
    <mergeCell ref="D21:F21"/>
    <mergeCell ref="D10:F10"/>
    <mergeCell ref="D11:F11"/>
    <mergeCell ref="D12:F12"/>
    <mergeCell ref="D13:F13"/>
    <mergeCell ref="D14:F14"/>
    <mergeCell ref="D15:F15"/>
    <mergeCell ref="D16:F16"/>
    <mergeCell ref="D17:F17"/>
    <mergeCell ref="D18:F18"/>
    <mergeCell ref="D19:F19"/>
    <mergeCell ref="D20:F20"/>
    <mergeCell ref="A8:F8"/>
    <mergeCell ref="A1:F1"/>
    <mergeCell ref="A2:F2"/>
    <mergeCell ref="A3:F3"/>
    <mergeCell ref="A4:F4"/>
  </mergeCells>
  <pageMargins left="0.9" right="0.27" top="0.43" bottom="0" header="0.26" footer="0.5"/>
  <pageSetup scale="99" firstPageNumber="39" orientation="portrait" useFirstPageNumber="1" horizontalDpi="4294967293" verticalDpi="4294967293" r:id="rId1"/>
  <headerFooter alignWithMargins="0">
    <oddHeader>&amp;L&amp;8Page 34&amp;R&amp;8Page 34</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5" zoomScale="110" zoomScaleNormal="110" workbookViewId="0">
      <selection activeCell="A9" sqref="A9:F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Franklin Jefferson Co Sp Ed Dist</v>
      </c>
      <c r="C1" s="2466"/>
      <c r="D1" s="2466"/>
      <c r="E1" s="2466"/>
      <c r="F1" s="2466"/>
      <c r="G1" s="2466"/>
      <c r="H1" s="2466"/>
      <c r="I1" s="2466"/>
      <c r="J1" s="1406"/>
    </row>
    <row r="2" spans="2:10" s="317" customFormat="1" ht="12.75" customHeight="1" x14ac:dyDescent="0.2">
      <c r="B2" s="2467">
        <f>'Single Audit Cover'!E7</f>
        <v>13041801060</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t="s">
        <v>1164</v>
      </c>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2061</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t="s">
        <v>2159</v>
      </c>
      <c r="E29" s="2472"/>
      <c r="F29" s="2472"/>
      <c r="G29" s="2472"/>
      <c r="H29" s="2472"/>
      <c r="I29" s="247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3" t="s">
        <v>1748</v>
      </c>
      <c r="D37" s="2474"/>
      <c r="E37" s="2474"/>
      <c r="F37" s="2475"/>
      <c r="G37" s="2473" t="s">
        <v>1592</v>
      </c>
      <c r="H37" s="2474"/>
      <c r="I37" s="2475"/>
    </row>
    <row r="38" spans="2:9" ht="16.5" customHeight="1" x14ac:dyDescent="0.2">
      <c r="B38" s="1428" t="s">
        <v>2160</v>
      </c>
      <c r="C38" s="2461" t="s">
        <v>2161</v>
      </c>
      <c r="D38" s="2462"/>
      <c r="E38" s="2462"/>
      <c r="F38" s="2463"/>
      <c r="G38" s="2476">
        <v>2274984</v>
      </c>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79" t="s">
        <v>1593</v>
      </c>
      <c r="D43" s="2480"/>
      <c r="E43" s="2480"/>
      <c r="F43" s="2481"/>
      <c r="G43" s="2482">
        <f>SUM(G38:I42)</f>
        <v>2274984</v>
      </c>
      <c r="H43" s="2482"/>
      <c r="I43" s="2482"/>
    </row>
    <row r="44" spans="2:9" ht="12.75" customHeight="1" x14ac:dyDescent="0.2"/>
    <row r="45" spans="2:9" ht="12.75" customHeight="1" x14ac:dyDescent="0.2">
      <c r="B45" s="1419" t="s">
        <v>2058</v>
      </c>
      <c r="D45" s="2483">
        <v>2832806</v>
      </c>
      <c r="E45" s="2484"/>
    </row>
    <row r="46" spans="2:9" ht="5.25" customHeight="1" x14ac:dyDescent="0.2">
      <c r="B46" s="1429"/>
      <c r="D46" s="1430"/>
      <c r="E46" s="1431"/>
    </row>
    <row r="47" spans="2:9" ht="12.75" customHeight="1" x14ac:dyDescent="0.2">
      <c r="B47" s="1297" t="s">
        <v>1594</v>
      </c>
      <c r="C47" s="1297"/>
      <c r="D47" s="1432">
        <f>+G43/D45</f>
        <v>0.80308499770192521</v>
      </c>
      <c r="E47" s="1433"/>
      <c r="F47" s="1434"/>
      <c r="I47" s="1435"/>
    </row>
    <row r="48" spans="2:9" ht="9.9499999999999993" customHeight="1" x14ac:dyDescent="0.2"/>
    <row r="49" spans="1:9" x14ac:dyDescent="0.2">
      <c r="B49" s="1365" t="s">
        <v>1273</v>
      </c>
      <c r="C49" s="1279"/>
      <c r="D49" s="1279"/>
      <c r="E49" s="2485">
        <v>750000</v>
      </c>
      <c r="F49" s="2485"/>
      <c r="G49" s="2485"/>
      <c r="H49" s="322"/>
    </row>
    <row r="51" spans="1:9" ht="13.5" customHeight="1" x14ac:dyDescent="0.2">
      <c r="B51" s="1365" t="s">
        <v>1272</v>
      </c>
      <c r="C51" s="1279"/>
      <c r="E51" s="1422" t="s">
        <v>2061</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35&amp;R&amp;8Page 35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A9" sqref="A9:F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Franklin Jefferson Co Sp Ed Dist</v>
      </c>
      <c r="C1" s="2465"/>
      <c r="D1" s="2465"/>
      <c r="E1" s="2465"/>
      <c r="F1" s="2465"/>
      <c r="G1" s="2465"/>
      <c r="H1" s="2465"/>
      <c r="I1" s="2465"/>
      <c r="J1" s="2465"/>
      <c r="K1" s="2465"/>
      <c r="L1" s="1371"/>
      <c r="M1" s="1371"/>
    </row>
    <row r="2" spans="1:13" ht="12" customHeight="1" x14ac:dyDescent="0.2">
      <c r="B2" s="2467">
        <f>'Single Audit Cover'!E7</f>
        <v>13041801060</v>
      </c>
      <c r="C2" s="2467"/>
      <c r="D2" s="2467"/>
      <c r="E2" s="2467"/>
      <c r="F2" s="2467"/>
      <c r="G2" s="2467"/>
      <c r="H2" s="2467"/>
      <c r="I2" s="2467"/>
      <c r="J2" s="2467"/>
      <c r="K2" s="2467"/>
      <c r="L2" s="1372"/>
      <c r="M2" s="1373"/>
    </row>
    <row r="3" spans="1:13" ht="10.35" customHeight="1" x14ac:dyDescent="0.2">
      <c r="B3" s="2488" t="s">
        <v>1285</v>
      </c>
      <c r="C3" s="2488"/>
      <c r="D3" s="2488"/>
      <c r="E3" s="2488"/>
      <c r="F3" s="2488"/>
      <c r="G3" s="2488"/>
      <c r="H3" s="2488"/>
      <c r="I3" s="2488"/>
      <c r="J3" s="2488"/>
      <c r="K3" s="2488"/>
      <c r="L3" s="1374"/>
      <c r="M3" s="1374"/>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1296</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1985</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7" t="s">
        <v>2152</v>
      </c>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7" t="s">
        <v>2153</v>
      </c>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1" t="s">
        <v>2154</v>
      </c>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7" t="s">
        <v>2155</v>
      </c>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7.75" customHeight="1" x14ac:dyDescent="0.2">
      <c r="B26" s="2487" t="s">
        <v>2156</v>
      </c>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6" t="s">
        <v>2157</v>
      </c>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6" t="s">
        <v>2158</v>
      </c>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E512F-7614-4C55-873B-D8C6AE304CC0}">
  <dimension ref="A1:M41"/>
  <sheetViews>
    <sheetView showGridLines="0" topLeftCell="A10" zoomScale="110" zoomScaleNormal="110" workbookViewId="0">
      <selection activeCell="A9" sqref="A9:F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Franklin Jefferson Co Sp Ed Dist</v>
      </c>
      <c r="C1" s="2465"/>
      <c r="D1" s="2465"/>
      <c r="E1" s="2465"/>
      <c r="F1" s="2465"/>
      <c r="G1" s="2465"/>
      <c r="H1" s="2465"/>
      <c r="I1" s="2465"/>
      <c r="J1" s="2465"/>
      <c r="K1" s="2465"/>
      <c r="L1" s="1371"/>
      <c r="M1" s="1371"/>
    </row>
    <row r="2" spans="1:13" ht="12" customHeight="1" x14ac:dyDescent="0.2">
      <c r="B2" s="2467">
        <f>'Single Audit Cover'!E7</f>
        <v>13041801060</v>
      </c>
      <c r="C2" s="2467"/>
      <c r="D2" s="2467"/>
      <c r="E2" s="2467"/>
      <c r="F2" s="2467"/>
      <c r="G2" s="2467"/>
      <c r="H2" s="2467"/>
      <c r="I2" s="2467"/>
      <c r="J2" s="2467"/>
      <c r="K2" s="2467"/>
      <c r="L2" s="1372"/>
      <c r="M2" s="1373"/>
    </row>
    <row r="3" spans="1:13" ht="10.35" customHeight="1" x14ac:dyDescent="0.2">
      <c r="B3" s="2488" t="s">
        <v>1285</v>
      </c>
      <c r="C3" s="2488"/>
      <c r="D3" s="2488"/>
      <c r="E3" s="2488"/>
      <c r="F3" s="2488"/>
      <c r="G3" s="2488"/>
      <c r="H3" s="2488"/>
      <c r="I3" s="2488"/>
      <c r="J3" s="2488"/>
      <c r="K3" s="2488"/>
      <c r="L3" s="1938"/>
      <c r="M3" s="1938"/>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1296</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1985</v>
      </c>
      <c r="D10" s="1383">
        <v>2</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7" t="s">
        <v>2145</v>
      </c>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7" t="s">
        <v>2146</v>
      </c>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1" t="s">
        <v>2147</v>
      </c>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7" t="s">
        <v>2148</v>
      </c>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30" customHeight="1" x14ac:dyDescent="0.2">
      <c r="B26" s="2487" t="s">
        <v>2149</v>
      </c>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4" customHeight="1" x14ac:dyDescent="0.2">
      <c r="B29" s="2486" t="s">
        <v>2150</v>
      </c>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6" t="s">
        <v>2151</v>
      </c>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5" zoomScale="110" zoomScaleNormal="110" workbookViewId="0">
      <selection activeCell="A9" sqref="A9:F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Franklin Jefferson Co Sp Ed Dist</v>
      </c>
      <c r="C1" s="2492"/>
      <c r="D1" s="2492"/>
      <c r="E1" s="2492"/>
      <c r="F1" s="2492"/>
      <c r="G1" s="2492"/>
      <c r="H1" s="2492"/>
      <c r="I1" s="2492"/>
      <c r="J1" s="2492"/>
      <c r="K1" s="2492"/>
      <c r="L1" s="1449"/>
    </row>
    <row r="2" spans="1:12" ht="12.75" customHeight="1" x14ac:dyDescent="0.2">
      <c r="B2" s="2493">
        <f>'Single Audit Cover'!E7</f>
        <v>13041801060</v>
      </c>
      <c r="C2" s="2493"/>
      <c r="D2" s="2493"/>
      <c r="E2" s="2493"/>
      <c r="F2" s="2493"/>
      <c r="G2" s="2493"/>
      <c r="H2" s="2493"/>
      <c r="I2" s="2493"/>
      <c r="J2" s="2493"/>
      <c r="K2" s="2493"/>
      <c r="L2" s="1450"/>
    </row>
    <row r="3" spans="1:12" ht="12.75" customHeight="1" x14ac:dyDescent="0.2">
      <c r="B3" s="2488" t="s">
        <v>1285</v>
      </c>
      <c r="C3" s="2488"/>
      <c r="D3" s="2488"/>
      <c r="E3" s="2488"/>
      <c r="F3" s="2488"/>
      <c r="G3" s="2488"/>
      <c r="H3" s="2488"/>
      <c r="I3" s="2488"/>
      <c r="J3" s="2488"/>
      <c r="K3" s="2488"/>
      <c r="L3" s="1374"/>
    </row>
    <row r="4" spans="1:12" ht="12.75" customHeight="1" x14ac:dyDescent="0.2">
      <c r="B4" s="2488" t="str">
        <f>'Single Audit Cover'!A4</f>
        <v>Year Ending June 30, 2019</v>
      </c>
      <c r="C4" s="2488"/>
      <c r="D4" s="2488"/>
      <c r="E4" s="2488"/>
      <c r="F4" s="2488"/>
      <c r="G4" s="2488"/>
      <c r="H4" s="2488"/>
      <c r="I4" s="2488"/>
      <c r="J4" s="2488"/>
      <c r="K4" s="2488"/>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1985</v>
      </c>
      <c r="D8" s="1452" t="s">
        <v>2139</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5"/>
      <c r="E14" s="2495"/>
      <c r="F14" s="2495"/>
      <c r="H14" s="1459" t="s">
        <v>1303</v>
      </c>
      <c r="I14" s="2496"/>
      <c r="J14" s="2496"/>
      <c r="K14" s="24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6"/>
      <c r="E16" s="2496"/>
      <c r="F16" s="2496"/>
      <c r="G16" s="2496"/>
      <c r="H16" s="2496"/>
      <c r="I16" s="2496"/>
      <c r="J16" s="2496"/>
      <c r="K16" s="2496"/>
      <c r="L16" s="322"/>
    </row>
    <row r="17" spans="2:12" ht="13.5" customHeight="1" x14ac:dyDescent="0.2">
      <c r="B17" s="1384" t="s">
        <v>1301</v>
      </c>
      <c r="C17" s="1384"/>
      <c r="D17" s="2497"/>
      <c r="E17" s="2497"/>
      <c r="F17" s="2497"/>
      <c r="G17" s="2497"/>
      <c r="H17" s="2497"/>
      <c r="I17" s="2497"/>
      <c r="J17" s="2497"/>
      <c r="K17" s="24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7"/>
      <c r="C20" s="2487"/>
      <c r="D20" s="2487"/>
      <c r="E20" s="2487"/>
      <c r="F20" s="2487"/>
      <c r="G20" s="2487"/>
      <c r="H20" s="2487"/>
      <c r="I20" s="2487"/>
      <c r="J20" s="2487"/>
      <c r="K20" s="248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38&amp;R&amp;8Page 38</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9" zoomScale="110" zoomScaleNormal="110" workbookViewId="0">
      <selection activeCell="A9" sqref="A9:F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Franklin Jefferson Co Sp Ed Dist</v>
      </c>
      <c r="C1" s="2465"/>
      <c r="D1" s="2465"/>
      <c r="E1" s="1469"/>
    </row>
    <row r="2" spans="2:5" s="1279" customFormat="1" ht="12.75" customHeight="1" x14ac:dyDescent="0.2">
      <c r="B2" s="2467">
        <f>'Single Audit Cover'!E7</f>
        <v>13041801060</v>
      </c>
      <c r="C2" s="2467"/>
      <c r="D2" s="2467"/>
      <c r="E2" s="1470"/>
    </row>
    <row r="3" spans="2:5" ht="12.75" customHeight="1" x14ac:dyDescent="0.2">
      <c r="B3" s="2488" t="s">
        <v>1763</v>
      </c>
      <c r="C3" s="2488"/>
      <c r="D3" s="2488"/>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c r="C5" s="328"/>
      <c r="D5" s="328"/>
      <c r="E5" s="328"/>
    </row>
    <row r="6" spans="2:5" s="1279" customFormat="1" ht="13.5" customHeight="1" x14ac:dyDescent="0.2">
      <c r="B6" s="1473" t="s">
        <v>1315</v>
      </c>
      <c r="C6" s="1473" t="s">
        <v>1314</v>
      </c>
      <c r="D6" s="1473" t="s">
        <v>1764</v>
      </c>
    </row>
    <row r="7" spans="2:5" ht="13.5" customHeight="1" x14ac:dyDescent="0.2">
      <c r="B7" s="1474"/>
      <c r="C7" s="324"/>
      <c r="D7" s="324"/>
      <c r="E7" s="324"/>
    </row>
    <row r="8" spans="2:5" ht="13.5" customHeight="1" x14ac:dyDescent="0.2">
      <c r="B8" s="1474" t="s">
        <v>2140</v>
      </c>
      <c r="C8" s="324" t="s">
        <v>2142</v>
      </c>
      <c r="D8" s="324" t="s">
        <v>2144</v>
      </c>
      <c r="E8" s="324"/>
    </row>
    <row r="9" spans="2:5" ht="13.5" customHeight="1" x14ac:dyDescent="0.2">
      <c r="B9" s="1475"/>
      <c r="C9" s="323"/>
      <c r="D9" s="323"/>
      <c r="E9" s="323"/>
    </row>
    <row r="10" spans="2:5" ht="13.5" customHeight="1" x14ac:dyDescent="0.2">
      <c r="B10" s="1474" t="s">
        <v>2141</v>
      </c>
      <c r="C10" s="323" t="s">
        <v>2143</v>
      </c>
      <c r="D10" s="323" t="s">
        <v>2144</v>
      </c>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1765</v>
      </c>
    </row>
    <row r="46" spans="2:5" ht="12.2" customHeight="1" x14ac:dyDescent="0.2">
      <c r="B46" s="1483" t="s">
        <v>1766</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39&amp;R&amp;8Page 39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386</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0">
        <f>ROUND(D10+F10+H10,5)</f>
        <v>0</v>
      </c>
      <c r="K10" s="222"/>
      <c r="L10" s="355"/>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6318937</v>
      </c>
      <c r="E16" s="356"/>
      <c r="F16" s="1731">
        <f>SUM('Acct Summary 7-8'!C17,'Acct Summary 7-8'!D17,'Acct Summary 7-8'!F17)</f>
        <v>5897249</v>
      </c>
      <c r="G16" s="356"/>
      <c r="H16" s="1731">
        <f>SUM(D16-F16)</f>
        <v>421688</v>
      </c>
      <c r="I16" s="222"/>
      <c r="J16" s="1731">
        <f>SUM('Acct Summary 7-8'!C81,'Acct Summary 7-8'!D81,'Acct Summary 7-8'!F81,'Acct Summary 7-8'!I81)</f>
        <v>1515780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556</v>
      </c>
      <c r="B2" s="2113"/>
      <c r="C2" s="2113"/>
      <c r="D2" s="2113"/>
      <c r="E2" s="2113"/>
      <c r="F2" s="2113"/>
      <c r="G2" s="2113"/>
      <c r="H2" s="2113"/>
      <c r="I2" s="2113"/>
      <c r="J2" s="2113"/>
      <c r="K2" s="2113"/>
      <c r="L2" s="2113"/>
      <c r="M2" s="2113"/>
      <c r="N2" s="2113"/>
      <c r="O2" s="2113"/>
      <c r="P2" s="2113"/>
      <c r="Q2" s="2113"/>
      <c r="R2" s="2113"/>
    </row>
    <row r="3" spans="1:18" ht="12.75" x14ac:dyDescent="0.2">
      <c r="A3" s="2114" t="s">
        <v>1413</v>
      </c>
      <c r="B3" s="2114"/>
      <c r="C3" s="2114"/>
      <c r="D3" s="2114"/>
      <c r="E3" s="2114"/>
      <c r="F3" s="2114"/>
      <c r="G3" s="2114"/>
      <c r="H3" s="2114"/>
      <c r="I3" s="2114"/>
      <c r="J3" s="2114"/>
      <c r="K3" s="2114"/>
      <c r="L3" s="2114"/>
      <c r="M3" s="2114"/>
      <c r="N3" s="2114"/>
      <c r="O3" s="2114"/>
      <c r="P3" s="2114"/>
      <c r="Q3" s="2114"/>
      <c r="R3" s="2114"/>
    </row>
    <row r="4" spans="1:18" x14ac:dyDescent="0.2">
      <c r="A4" s="2115" t="s">
        <v>1554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Franklin Jefferson Co Sp Ed Dist</v>
      </c>
      <c r="E7" s="391"/>
      <c r="G7" s="252"/>
      <c r="H7" s="387"/>
      <c r="I7" s="387"/>
      <c r="J7" s="387"/>
      <c r="K7" s="387"/>
      <c r="L7" s="329"/>
      <c r="M7" s="329"/>
      <c r="N7" s="329"/>
      <c r="O7" s="329"/>
      <c r="P7" s="329"/>
    </row>
    <row r="8" spans="1:18" ht="12.75" x14ac:dyDescent="0.2">
      <c r="A8" s="329"/>
      <c r="B8" s="329"/>
      <c r="C8" s="389" t="s">
        <v>1125</v>
      </c>
      <c r="D8" s="392">
        <f>COVER!A13</f>
        <v>13041801060</v>
      </c>
      <c r="E8" s="393"/>
      <c r="G8" s="329"/>
      <c r="H8" s="329"/>
      <c r="I8" s="329"/>
      <c r="J8" s="329"/>
      <c r="K8" s="329"/>
      <c r="L8" s="329"/>
      <c r="M8" s="329"/>
      <c r="N8" s="329"/>
      <c r="O8" s="329"/>
      <c r="P8" s="329"/>
    </row>
    <row r="9" spans="1:18" ht="12.75" x14ac:dyDescent="0.2">
      <c r="A9" s="329"/>
      <c r="B9" s="329"/>
      <c r="C9" s="389" t="s">
        <v>713</v>
      </c>
      <c r="D9" s="394" t="str">
        <f>COVER!A15</f>
        <v>Franklin-Jefferson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1515780</v>
      </c>
      <c r="I12" s="404"/>
      <c r="J12" s="404"/>
      <c r="K12" s="405">
        <f>TRUNC((H12/H13*100000),5)/100000</f>
        <v>0.2398789543</v>
      </c>
      <c r="L12" s="406"/>
      <c r="M12" s="360" t="s">
        <v>1144</v>
      </c>
      <c r="N12" s="360"/>
      <c r="O12" s="407">
        <v>0.35</v>
      </c>
      <c r="P12" s="218"/>
      <c r="Q12" s="218"/>
    </row>
    <row r="13" spans="1:18" s="408" customFormat="1" ht="12.75" x14ac:dyDescent="0.2">
      <c r="A13" s="218"/>
      <c r="B13" s="401"/>
      <c r="C13" s="2111" t="s">
        <v>1324</v>
      </c>
      <c r="D13" s="2112"/>
      <c r="E13" s="218"/>
      <c r="F13" s="409" t="s">
        <v>793</v>
      </c>
      <c r="G13" s="402"/>
      <c r="H13" s="403">
        <f>SUM('Acct Summary 7-8'!C8+'Acct Summary 7-8'!D8+'Acct Summary 7-8'!F8+'Acct Summary 7-8'!I8)+H14</f>
        <v>6318937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5897249</v>
      </c>
      <c r="I17" s="404"/>
      <c r="J17" s="416"/>
      <c r="K17" s="405">
        <f>TRUNC((H17/H18*100000),5)/100000</f>
        <v>0.93326599069999994</v>
      </c>
      <c r="L17" s="406"/>
      <c r="M17" s="417" t="s">
        <v>1171</v>
      </c>
      <c r="O17" s="418" t="str">
        <f>IF(AND(O16="2", J20 &gt; 2),"1",IF(AND(O16 = "1", J20 &gt; 2),"2",IF(AND(O16="1", J20 &gt;1),"1","0")))</f>
        <v>0</v>
      </c>
      <c r="P17" s="218"/>
    </row>
    <row r="18" spans="1:18" s="408" customFormat="1" ht="11.25" x14ac:dyDescent="0.2">
      <c r="A18" s="218"/>
      <c r="B18" s="401"/>
      <c r="C18" s="2111" t="s">
        <v>1317</v>
      </c>
      <c r="D18" s="2112"/>
      <c r="E18" s="218"/>
      <c r="F18" s="419" t="s">
        <v>794</v>
      </c>
      <c r="G18" s="402"/>
      <c r="H18" s="403">
        <f>SUM('Acct Summary 7-8'!C8+'Acct Summary 7-8'!D8+'Acct Summary 7-8'!F8+'Acct Summary 7-8'!I8)+H19</f>
        <v>6318937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8" t="s">
        <v>1412</v>
      </c>
      <c r="D24" s="2108"/>
      <c r="E24" s="218"/>
      <c r="F24" s="218" t="s">
        <v>445</v>
      </c>
      <c r="G24" s="402"/>
      <c r="H24" s="403">
        <f>SUM('Assets-Liab 5-6'!C4+'Assets-Liab 5-6'!D4+'Assets-Liab 5-6'!F4+'Assets-Liab 5-6'!I4+'Assets-Liab 5-6'!C5+'Assets-Liab 5-6'!D5+'Assets-Liab 5-6'!F5+'Assets-Liab 5-6'!I5)</f>
        <v>1515780</v>
      </c>
      <c r="I24" s="422"/>
      <c r="J24" s="422"/>
      <c r="K24" s="423">
        <f>TRUNC(((H24/H25*100000)/100000),2)</f>
        <v>92.53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16381.247219999999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9" sqref="C9"/>
      <selection pane="bottomLeft" activeCell="B1" sqref="B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8" t="s">
        <v>973</v>
      </c>
      <c r="B3" s="2119"/>
      <c r="C3" s="1559"/>
      <c r="D3" s="1560"/>
      <c r="E3" s="1560"/>
      <c r="F3" s="1560"/>
      <c r="G3" s="1560"/>
      <c r="H3" s="1560"/>
      <c r="I3" s="1560"/>
      <c r="J3" s="1560"/>
      <c r="K3" s="1560"/>
      <c r="L3" s="1560"/>
      <c r="M3" s="1561"/>
      <c r="N3" s="1562"/>
    </row>
    <row r="4" spans="1:14" ht="13.5" customHeight="1" x14ac:dyDescent="0.2">
      <c r="A4" s="463" t="s">
        <v>1651</v>
      </c>
      <c r="B4" s="464"/>
      <c r="C4" s="465">
        <v>1438894</v>
      </c>
      <c r="D4" s="466">
        <v>76886</v>
      </c>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1438894</v>
      </c>
      <c r="D13" s="1735">
        <f t="shared" ref="D13:L13" si="0">SUM(D4:D12)</f>
        <v>76886</v>
      </c>
      <c r="E13" s="1735">
        <f t="shared" si="0"/>
        <v>0</v>
      </c>
      <c r="F13" s="1735">
        <f t="shared" si="0"/>
        <v>0</v>
      </c>
      <c r="G13" s="1735">
        <f t="shared" si="0"/>
        <v>0</v>
      </c>
      <c r="H13" s="1735">
        <f t="shared" si="0"/>
        <v>0</v>
      </c>
      <c r="I13" s="1735">
        <f t="shared" si="0"/>
        <v>0</v>
      </c>
      <c r="J13" s="1735">
        <f t="shared" si="0"/>
        <v>0</v>
      </c>
      <c r="K13" s="1735">
        <f t="shared" si="0"/>
        <v>0</v>
      </c>
      <c r="L13" s="1735">
        <f t="shared" si="0"/>
        <v>0</v>
      </c>
      <c r="M13" s="468"/>
      <c r="N13" s="469"/>
    </row>
    <row r="14" spans="1:14" ht="18" customHeight="1" thickTop="1" x14ac:dyDescent="0.2">
      <c r="A14" s="2120" t="s">
        <v>147</v>
      </c>
      <c r="B14" s="212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11850</v>
      </c>
      <c r="N16" s="484"/>
    </row>
    <row r="17" spans="1:14" s="485" customFormat="1" ht="12.75" customHeight="1" x14ac:dyDescent="0.2">
      <c r="A17" s="482" t="s">
        <v>1403</v>
      </c>
      <c r="B17" s="483">
        <v>230</v>
      </c>
      <c r="C17" s="477"/>
      <c r="D17" s="477"/>
      <c r="E17" s="477"/>
      <c r="F17" s="477"/>
      <c r="G17" s="477"/>
      <c r="H17" s="477"/>
      <c r="I17" s="477"/>
      <c r="J17" s="477"/>
      <c r="K17" s="477"/>
      <c r="L17" s="477"/>
      <c r="M17" s="467">
        <v>165488</v>
      </c>
      <c r="N17" s="484"/>
    </row>
    <row r="18" spans="1:14" s="485" customFormat="1" ht="12.75" customHeight="1" x14ac:dyDescent="0.2">
      <c r="A18" s="482" t="s">
        <v>1404</v>
      </c>
      <c r="B18" s="483">
        <v>240</v>
      </c>
      <c r="C18" s="477"/>
      <c r="D18" s="477"/>
      <c r="E18" s="477"/>
      <c r="F18" s="477"/>
      <c r="G18" s="477"/>
      <c r="H18" s="477"/>
      <c r="I18" s="477"/>
      <c r="J18" s="477"/>
      <c r="K18" s="477"/>
      <c r="L18" s="477"/>
      <c r="M18" s="467">
        <v>17664</v>
      </c>
      <c r="N18" s="484"/>
    </row>
    <row r="19" spans="1:14" s="485" customFormat="1" ht="12.75" customHeight="1" x14ac:dyDescent="0.2">
      <c r="A19" s="482" t="s">
        <v>1405</v>
      </c>
      <c r="B19" s="483">
        <v>250</v>
      </c>
      <c r="C19" s="477"/>
      <c r="D19" s="477"/>
      <c r="E19" s="477"/>
      <c r="F19" s="477"/>
      <c r="G19" s="477"/>
      <c r="H19" s="477"/>
      <c r="I19" s="477"/>
      <c r="J19" s="477"/>
      <c r="K19" s="477"/>
      <c r="L19" s="477"/>
      <c r="M19" s="467">
        <v>2142793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2337795</v>
      </c>
      <c r="N23" s="1686">
        <f>SUM(N21:N22)</f>
        <v>0</v>
      </c>
    </row>
    <row r="24" spans="1:14" ht="18" customHeight="1" thickTop="1" x14ac:dyDescent="0.2">
      <c r="A24" s="2122" t="s">
        <v>598</v>
      </c>
      <c r="B24" s="212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0</v>
      </c>
      <c r="M34" s="468"/>
      <c r="N34" s="480"/>
    </row>
    <row r="35" spans="1:14" ht="18" customHeight="1" thickTop="1" x14ac:dyDescent="0.2">
      <c r="A35" s="2124" t="s">
        <v>529</v>
      </c>
      <c r="B35" s="212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653</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1438894</v>
      </c>
      <c r="D39" s="466">
        <v>76886</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2337795</v>
      </c>
      <c r="N40" s="497"/>
    </row>
    <row r="41" spans="1:14" ht="13.5" customHeight="1" thickBot="1" x14ac:dyDescent="0.25">
      <c r="A41" s="1734" t="s">
        <v>655</v>
      </c>
      <c r="B41" s="1704"/>
      <c r="C41" s="1686">
        <f>(SUM(C34,C37,C38,C39))</f>
        <v>1438894</v>
      </c>
      <c r="D41" s="1686">
        <f t="shared" ref="D41:L41" si="2">SUM(D34,D37,D38:D39)</f>
        <v>76886</v>
      </c>
      <c r="E41" s="1686">
        <f t="shared" si="2"/>
        <v>0</v>
      </c>
      <c r="F41" s="1686">
        <f t="shared" si="2"/>
        <v>0</v>
      </c>
      <c r="G41" s="1686">
        <f t="shared" si="2"/>
        <v>0</v>
      </c>
      <c r="H41" s="1686">
        <f t="shared" si="2"/>
        <v>0</v>
      </c>
      <c r="I41" s="1686">
        <f t="shared" si="2"/>
        <v>0</v>
      </c>
      <c r="J41" s="1686">
        <f t="shared" si="2"/>
        <v>0</v>
      </c>
      <c r="K41" s="1686">
        <f t="shared" si="2"/>
        <v>0</v>
      </c>
      <c r="L41" s="1686">
        <f t="shared" si="2"/>
        <v>0</v>
      </c>
      <c r="M41" s="1686">
        <f>SUM(M40)</f>
        <v>2337795</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activeCell="C9" sqref="C9"/>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6" t="s">
        <v>1175</v>
      </c>
      <c r="B3" s="2147"/>
      <c r="C3" s="1573"/>
      <c r="D3" s="1574"/>
      <c r="E3" s="1574"/>
      <c r="F3" s="1574"/>
      <c r="G3" s="1574"/>
      <c r="H3" s="1574"/>
      <c r="I3" s="1574"/>
      <c r="J3" s="1574"/>
      <c r="K3" s="1575"/>
      <c r="L3" s="506"/>
    </row>
    <row r="4" spans="1:13" ht="15.75" customHeight="1" x14ac:dyDescent="0.2">
      <c r="A4" s="1925" t="s">
        <v>1499</v>
      </c>
      <c r="B4" s="1926">
        <v>1000</v>
      </c>
      <c r="C4" s="1740">
        <f>'Revenues 9-14'!C109</f>
        <v>2993606</v>
      </c>
      <c r="D4" s="1740">
        <f>'Revenues 9-14'!D109</f>
        <v>9270</v>
      </c>
      <c r="E4" s="1740">
        <f>'Revenues 9-14'!E109</f>
        <v>0</v>
      </c>
      <c r="F4" s="1740">
        <f>'Revenues 9-14'!F109</f>
        <v>0</v>
      </c>
      <c r="G4" s="1740">
        <f>'Revenues 9-14'!G109</f>
        <v>0</v>
      </c>
      <c r="H4" s="1740">
        <f>'Revenues 9-14'!H109</f>
        <v>0</v>
      </c>
      <c r="I4" s="1740">
        <f>'Revenues 9-14'!I109</f>
        <v>0</v>
      </c>
      <c r="J4" s="1740">
        <f>'Revenues 9-14'!J109</f>
        <v>0</v>
      </c>
      <c r="K4" s="1740">
        <f>'Revenues 9-14'!K109</f>
        <v>0</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381606</v>
      </c>
      <c r="D6" s="1741">
        <f>'Revenues 9-14'!D170</f>
        <v>0</v>
      </c>
      <c r="E6" s="1741">
        <f>'Revenues 9-14'!E170</f>
        <v>0</v>
      </c>
      <c r="F6" s="1741">
        <f>'Revenues 9-14'!F170</f>
        <v>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2934455</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6309667</v>
      </c>
      <c r="D8" s="1686">
        <f t="shared" ref="D8:K8" si="0">SUM(D4:D7)</f>
        <v>9270</v>
      </c>
      <c r="E8" s="1686">
        <f t="shared" si="0"/>
        <v>0</v>
      </c>
      <c r="F8" s="1686">
        <f t="shared" si="0"/>
        <v>0</v>
      </c>
      <c r="G8" s="1686">
        <f t="shared" si="0"/>
        <v>0</v>
      </c>
      <c r="H8" s="1686">
        <f t="shared" si="0"/>
        <v>0</v>
      </c>
      <c r="I8" s="1686">
        <f t="shared" si="0"/>
        <v>0</v>
      </c>
      <c r="J8" s="1686">
        <f t="shared" si="0"/>
        <v>0</v>
      </c>
      <c r="K8" s="1686">
        <f t="shared" si="0"/>
        <v>0</v>
      </c>
      <c r="L8" s="347"/>
    </row>
    <row r="9" spans="1:13" ht="15.75" thickTop="1" x14ac:dyDescent="0.2">
      <c r="A9" s="514" t="s">
        <v>1653</v>
      </c>
      <c r="B9" s="515">
        <v>3998</v>
      </c>
      <c r="C9" s="481">
        <v>225450</v>
      </c>
      <c r="D9" s="516"/>
      <c r="E9" s="481"/>
      <c r="F9" s="481"/>
      <c r="G9" s="517"/>
      <c r="H9" s="481"/>
      <c r="I9" s="509" t="s">
        <v>1169</v>
      </c>
      <c r="J9" s="478"/>
      <c r="K9" s="481"/>
      <c r="L9" s="347"/>
    </row>
    <row r="10" spans="1:13" s="519" customFormat="1" ht="13.5" thickBot="1" x14ac:dyDescent="0.25">
      <c r="A10" s="1734" t="s">
        <v>1173</v>
      </c>
      <c r="B10" s="1707"/>
      <c r="C10" s="1686">
        <f>SUM(C8:C9)</f>
        <v>6535117</v>
      </c>
      <c r="D10" s="1686">
        <f t="shared" ref="D10:K10" si="1">SUM(D8:D9)</f>
        <v>9270</v>
      </c>
      <c r="E10" s="1686">
        <f t="shared" si="1"/>
        <v>0</v>
      </c>
      <c r="F10" s="1686">
        <f t="shared" si="1"/>
        <v>0</v>
      </c>
      <c r="G10" s="1686">
        <f t="shared" si="1"/>
        <v>0</v>
      </c>
      <c r="H10" s="1686">
        <f t="shared" si="1"/>
        <v>0</v>
      </c>
      <c r="I10" s="1686">
        <f t="shared" si="1"/>
        <v>0</v>
      </c>
      <c r="J10" s="1686">
        <f t="shared" si="1"/>
        <v>0</v>
      </c>
      <c r="K10" s="1686">
        <f t="shared" si="1"/>
        <v>0</v>
      </c>
      <c r="L10" s="518"/>
    </row>
    <row r="11" spans="1:13" s="519" customFormat="1" ht="16.7" customHeight="1" thickTop="1" x14ac:dyDescent="0.2">
      <c r="A11" s="2120" t="s">
        <v>1176</v>
      </c>
      <c r="B11" s="2121"/>
      <c r="C11" s="1570"/>
      <c r="D11" s="1571"/>
      <c r="E11" s="1571"/>
      <c r="F11" s="1571"/>
      <c r="G11" s="1571"/>
      <c r="H11" s="1571"/>
      <c r="I11" s="1571"/>
      <c r="J11" s="1571"/>
      <c r="K11" s="1572"/>
      <c r="L11" s="518"/>
    </row>
    <row r="12" spans="1:13" ht="15.75" customHeight="1" x14ac:dyDescent="0.2">
      <c r="A12" s="1576" t="s">
        <v>456</v>
      </c>
      <c r="B12" s="1578">
        <v>1000</v>
      </c>
      <c r="C12" s="1740">
        <f>'Expenditures 15-22'!K33</f>
        <v>1593966</v>
      </c>
      <c r="D12" s="520" t="s">
        <v>1169</v>
      </c>
      <c r="E12" s="468" t="s">
        <v>1169</v>
      </c>
      <c r="F12" s="468" t="s">
        <v>1169</v>
      </c>
      <c r="G12" s="1740">
        <f>'Expenditures 15-22'!K229</f>
        <v>0</v>
      </c>
      <c r="H12" s="521"/>
      <c r="I12" s="468" t="s">
        <v>1169</v>
      </c>
      <c r="J12" s="468" t="s">
        <v>1169</v>
      </c>
      <c r="K12" s="521" t="s">
        <v>1169</v>
      </c>
      <c r="L12" s="347"/>
    </row>
    <row r="13" spans="1:13" ht="15.75" customHeight="1" x14ac:dyDescent="0.2">
      <c r="A13" s="1576" t="s">
        <v>457</v>
      </c>
      <c r="B13" s="1578">
        <v>2000</v>
      </c>
      <c r="C13" s="1741">
        <f>'Expenditures 15-22'!K74</f>
        <v>3642639</v>
      </c>
      <c r="D13" s="1741">
        <f>'Expenditures 15-22'!K129</f>
        <v>1345</v>
      </c>
      <c r="E13" s="469" t="s">
        <v>1169</v>
      </c>
      <c r="F13" s="1741">
        <f>'Expenditures 15-22'!K184</f>
        <v>0</v>
      </c>
      <c r="G13" s="1741">
        <f>'Expenditures 15-22'!K279</f>
        <v>0</v>
      </c>
      <c r="H13" s="1741">
        <f>'Expenditures 15-22'!K303</f>
        <v>0</v>
      </c>
      <c r="I13" s="468" t="s">
        <v>1169</v>
      </c>
      <c r="J13" s="1741">
        <f>'Expenditures 15-22'!K330</f>
        <v>0</v>
      </c>
      <c r="K13" s="1745">
        <f>'Expenditures 15-22'!K352</f>
        <v>0</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659299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5895904</v>
      </c>
      <c r="D17" s="1686">
        <f t="shared" si="2"/>
        <v>1345</v>
      </c>
      <c r="E17" s="1686">
        <f t="shared" si="2"/>
        <v>0</v>
      </c>
      <c r="F17" s="1686">
        <f t="shared" si="2"/>
        <v>0</v>
      </c>
      <c r="G17" s="1686">
        <f t="shared" si="2"/>
        <v>0</v>
      </c>
      <c r="H17" s="1686">
        <f t="shared" si="2"/>
        <v>0</v>
      </c>
      <c r="I17" s="468"/>
      <c r="J17" s="1686">
        <f>SUM(J12:J16)</f>
        <v>0</v>
      </c>
      <c r="K17" s="1686">
        <f>SUM(K12:K16)</f>
        <v>0</v>
      </c>
      <c r="L17" s="347"/>
    </row>
    <row r="18" spans="1:12" ht="15" customHeight="1" thickTop="1" x14ac:dyDescent="0.2">
      <c r="A18" s="1742" t="s">
        <v>1654</v>
      </c>
      <c r="B18" s="1743">
        <v>4180</v>
      </c>
      <c r="C18" s="1740">
        <f t="shared" ref="C18:H18" si="3">C9</f>
        <v>225450</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6121354</v>
      </c>
      <c r="D19" s="1686">
        <f t="shared" si="4"/>
        <v>1345</v>
      </c>
      <c r="E19" s="1686">
        <f t="shared" si="4"/>
        <v>0</v>
      </c>
      <c r="F19" s="1686">
        <f t="shared" si="4"/>
        <v>0</v>
      </c>
      <c r="G19" s="1686">
        <f t="shared" si="4"/>
        <v>0</v>
      </c>
      <c r="H19" s="1686">
        <f t="shared" si="4"/>
        <v>0</v>
      </c>
      <c r="I19" s="468"/>
      <c r="J19" s="1686">
        <f>SUM(J17:J18)</f>
        <v>0</v>
      </c>
      <c r="K19" s="1686">
        <f>SUM(K17:K18)</f>
        <v>0</v>
      </c>
      <c r="L19" s="347"/>
    </row>
    <row r="20" spans="1:12" ht="16.5" thickTop="1" thickBot="1" x14ac:dyDescent="0.25">
      <c r="A20" s="2136" t="s">
        <v>1655</v>
      </c>
      <c r="B20" s="2137"/>
      <c r="C20" s="1744">
        <f>C8-C17</f>
        <v>413763</v>
      </c>
      <c r="D20" s="1744">
        <f t="shared" ref="D20:K20" si="5">D8-D17</f>
        <v>7925</v>
      </c>
      <c r="E20" s="1744">
        <f t="shared" si="5"/>
        <v>0</v>
      </c>
      <c r="F20" s="1744">
        <f t="shared" si="5"/>
        <v>0</v>
      </c>
      <c r="G20" s="1744">
        <f t="shared" si="5"/>
        <v>0</v>
      </c>
      <c r="H20" s="1744">
        <f t="shared" si="5"/>
        <v>0</v>
      </c>
      <c r="I20" s="1744">
        <f t="shared" si="5"/>
        <v>0</v>
      </c>
      <c r="J20" s="1744">
        <f t="shared" si="5"/>
        <v>0</v>
      </c>
      <c r="K20" s="1744">
        <f t="shared" si="5"/>
        <v>0</v>
      </c>
      <c r="L20" s="347"/>
    </row>
    <row r="21" spans="1:12" ht="16.7" customHeight="1" thickTop="1" x14ac:dyDescent="0.2">
      <c r="A21" s="2148" t="s">
        <v>595</v>
      </c>
      <c r="B21" s="2149"/>
      <c r="C21" s="1570"/>
      <c r="D21" s="1571"/>
      <c r="E21" s="1571"/>
      <c r="F21" s="1571"/>
      <c r="G21" s="1571"/>
      <c r="H21" s="1571"/>
      <c r="I21" s="1571"/>
      <c r="J21" s="1571"/>
      <c r="K21" s="1572"/>
      <c r="L21" s="524"/>
    </row>
    <row r="22" spans="1:12" ht="15.75" customHeight="1" collapsed="1" x14ac:dyDescent="0.2">
      <c r="A22" s="2144" t="s">
        <v>596</v>
      </c>
      <c r="B22" s="2145"/>
      <c r="C22" s="477"/>
      <c r="D22" s="477"/>
      <c r="E22" s="477"/>
      <c r="F22" s="477"/>
      <c r="G22" s="477"/>
      <c r="H22" s="477"/>
      <c r="I22" s="477"/>
      <c r="J22" s="477"/>
      <c r="K22" s="477"/>
      <c r="L22" s="347"/>
    </row>
    <row r="23" spans="1:12" s="485" customFormat="1" ht="15.75" customHeight="1" x14ac:dyDescent="0.2">
      <c r="A23" s="2140" t="s">
        <v>293</v>
      </c>
      <c r="B23" s="214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2" t="s">
        <v>981</v>
      </c>
      <c r="B32" s="214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0" t="s">
        <v>374</v>
      </c>
      <c r="B44" s="2151"/>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44" t="s">
        <v>108</v>
      </c>
      <c r="B45" s="2145"/>
      <c r="C45" s="528"/>
      <c r="D45" s="528"/>
      <c r="E45" s="528"/>
      <c r="F45" s="528"/>
      <c r="G45" s="528"/>
      <c r="H45" s="528"/>
      <c r="I45" s="528"/>
      <c r="J45" s="528"/>
      <c r="K45" s="528"/>
      <c r="L45" s="347"/>
    </row>
    <row r="46" spans="1:12" s="485" customFormat="1" ht="15.75" customHeight="1" x14ac:dyDescent="0.2">
      <c r="A46" s="2152" t="s">
        <v>109</v>
      </c>
      <c r="B46" s="215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1">
        <f>D30</f>
        <v>0</v>
      </c>
      <c r="L52" s="524"/>
    </row>
    <row r="53" spans="1:12" s="485" customFormat="1" ht="26.25" x14ac:dyDescent="0.2">
      <c r="A53" s="1490" t="s">
        <v>1792</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6" t="s">
        <v>440</v>
      </c>
      <c r="B76" s="2127"/>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8" t="s">
        <v>1177</v>
      </c>
      <c r="B77" s="2129"/>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32" t="s">
        <v>597</v>
      </c>
      <c r="B78" s="2133"/>
      <c r="C78" s="1700">
        <f t="shared" ref="C78:K78" si="9">C20+C77</f>
        <v>413763</v>
      </c>
      <c r="D78" s="1700">
        <f t="shared" si="9"/>
        <v>7925</v>
      </c>
      <c r="E78" s="1700">
        <f t="shared" si="9"/>
        <v>0</v>
      </c>
      <c r="F78" s="1700">
        <f t="shared" si="9"/>
        <v>0</v>
      </c>
      <c r="G78" s="1700">
        <f t="shared" si="9"/>
        <v>0</v>
      </c>
      <c r="H78" s="1700">
        <f t="shared" si="9"/>
        <v>0</v>
      </c>
      <c r="I78" s="1700">
        <f t="shared" si="9"/>
        <v>0</v>
      </c>
      <c r="J78" s="1700">
        <f t="shared" si="9"/>
        <v>0</v>
      </c>
      <c r="K78" s="1700">
        <f t="shared" si="9"/>
        <v>0</v>
      </c>
      <c r="L78" s="533"/>
    </row>
    <row r="79" spans="1:12" ht="13.5" thickTop="1" x14ac:dyDescent="0.2">
      <c r="A79" s="1494" t="s">
        <v>1943</v>
      </c>
      <c r="B79" s="534"/>
      <c r="C79" s="478">
        <v>1025131</v>
      </c>
      <c r="D79" s="535">
        <v>68961</v>
      </c>
      <c r="E79" s="535"/>
      <c r="F79" s="535"/>
      <c r="G79" s="535"/>
      <c r="H79" s="535"/>
      <c r="I79" s="535"/>
      <c r="J79" s="535"/>
      <c r="K79" s="535"/>
      <c r="L79" s="347"/>
    </row>
    <row r="80" spans="1:12" x14ac:dyDescent="0.2">
      <c r="A80" s="2138" t="s">
        <v>1791</v>
      </c>
      <c r="B80" s="2139"/>
      <c r="C80" s="467"/>
      <c r="D80" s="467"/>
      <c r="E80" s="467"/>
      <c r="F80" s="467"/>
      <c r="G80" s="467"/>
      <c r="H80" s="467"/>
      <c r="I80" s="467"/>
      <c r="J80" s="467"/>
      <c r="K80" s="467"/>
      <c r="L80" s="347"/>
    </row>
    <row r="81" spans="1:12" ht="13.5" thickBot="1" x14ac:dyDescent="0.25">
      <c r="A81" s="2130" t="s">
        <v>1944</v>
      </c>
      <c r="B81" s="2131"/>
      <c r="C81" s="1686">
        <f>(SUM(C78:C80))</f>
        <v>1438894</v>
      </c>
      <c r="D81" s="1686">
        <f>SUM(D78:D80)</f>
        <v>76886</v>
      </c>
      <c r="E81" s="1686">
        <f t="shared" ref="E81:K81" si="10">SUM(E78:E80)</f>
        <v>0</v>
      </c>
      <c r="F81" s="1686">
        <f t="shared" si="10"/>
        <v>0</v>
      </c>
      <c r="G81" s="1686">
        <f t="shared" si="10"/>
        <v>0</v>
      </c>
      <c r="H81" s="1686">
        <f t="shared" si="10"/>
        <v>0</v>
      </c>
      <c r="I81" s="1686">
        <f t="shared" si="10"/>
        <v>0</v>
      </c>
      <c r="J81" s="1686">
        <f t="shared" si="10"/>
        <v>0</v>
      </c>
      <c r="K81" s="1686">
        <f t="shared" si="10"/>
        <v>0</v>
      </c>
      <c r="L81" s="347"/>
    </row>
    <row r="82" spans="1:12" ht="0.75" customHeight="1" thickTop="1" thickBot="1" x14ac:dyDescent="0.25">
      <c r="A82" s="536" t="s">
        <v>343</v>
      </c>
      <c r="B82" s="537"/>
      <c r="C82" s="538">
        <f>(C81-C79)</f>
        <v>413763</v>
      </c>
      <c r="D82" s="538">
        <f t="shared" ref="D82:K82" si="11">(D81-D79)</f>
        <v>7925</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0.28755627586187726</v>
      </c>
      <c r="D83" s="540">
        <f t="shared" ref="D83:K83" si="12">D82/D81</f>
        <v>0.10307468199672241</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5"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3" activePane="bottomLeft" state="frozen"/>
      <selection activeCell="C9" sqref="C9"/>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4" t="s">
        <v>1798</v>
      </c>
      <c r="B1" s="452"/>
      <c r="C1" s="453" t="s">
        <v>425</v>
      </c>
      <c r="D1" s="453" t="s">
        <v>426</v>
      </c>
      <c r="E1" s="453" t="s">
        <v>427</v>
      </c>
      <c r="F1" s="453" t="s">
        <v>428</v>
      </c>
      <c r="G1" s="453" t="s">
        <v>429</v>
      </c>
      <c r="H1" s="453" t="s">
        <v>430</v>
      </c>
      <c r="I1" s="453" t="s">
        <v>431</v>
      </c>
      <c r="J1" s="453" t="s">
        <v>432</v>
      </c>
      <c r="K1" s="453" t="s">
        <v>756</v>
      </c>
    </row>
    <row r="2" spans="1:12" ht="36" x14ac:dyDescent="0.2">
      <c r="A2" s="213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0</v>
      </c>
      <c r="D12" s="1705">
        <f t="shared" si="0"/>
        <v>0</v>
      </c>
      <c r="E12" s="1705">
        <f t="shared" si="0"/>
        <v>0</v>
      </c>
      <c r="F12" s="1705">
        <f t="shared" si="0"/>
        <v>0</v>
      </c>
      <c r="G12" s="1705">
        <f t="shared" si="0"/>
        <v>0</v>
      </c>
      <c r="H12" s="1705">
        <f t="shared" si="0"/>
        <v>0</v>
      </c>
      <c r="I12" s="1705">
        <f t="shared" si="0"/>
        <v>0</v>
      </c>
      <c r="J12" s="1705">
        <f t="shared" si="0"/>
        <v>0</v>
      </c>
      <c r="K12" s="1686">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0</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1734935</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1734935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303</v>
      </c>
      <c r="D65" s="466">
        <v>23</v>
      </c>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303</v>
      </c>
      <c r="D67" s="1686">
        <f t="shared" ref="D67:K67" si="2">SUM(D65:D66)</f>
        <v>23</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37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67378</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1162256</v>
      </c>
      <c r="D104" s="466">
        <v>9247</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28697</v>
      </c>
      <c r="D107" s="466"/>
      <c r="E107" s="466"/>
      <c r="F107" s="466"/>
      <c r="G107" s="466"/>
      <c r="H107" s="466"/>
      <c r="I107" s="466"/>
      <c r="J107" s="467"/>
      <c r="K107" s="466"/>
    </row>
    <row r="108" spans="1:12" ht="12.75" customHeight="1" thickBot="1" x14ac:dyDescent="0.25">
      <c r="A108" s="1706" t="s">
        <v>487</v>
      </c>
      <c r="B108" s="1710"/>
      <c r="C108" s="1705">
        <f>SUM(C95:C107)</f>
        <v>1258331</v>
      </c>
      <c r="D108" s="1705">
        <f t="shared" ref="D108:K108" si="3">SUM(D95:D107)</f>
        <v>9247</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2993606</v>
      </c>
      <c r="D109" s="1713">
        <f t="shared" si="4"/>
        <v>9270</v>
      </c>
      <c r="E109" s="1713">
        <f t="shared" si="4"/>
        <v>0</v>
      </c>
      <c r="F109" s="1713">
        <f t="shared" si="4"/>
        <v>0</v>
      </c>
      <c r="G109" s="1713">
        <f t="shared" si="4"/>
        <v>0</v>
      </c>
      <c r="H109" s="1713">
        <f t="shared" si="4"/>
        <v>0</v>
      </c>
      <c r="I109" s="1713">
        <f t="shared" si="4"/>
        <v>0</v>
      </c>
      <c r="J109" s="1713">
        <f t="shared" si="4"/>
        <v>0</v>
      </c>
      <c r="K109" s="1700">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380946</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7"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380946</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660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0</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4" t="s">
        <v>398</v>
      </c>
      <c r="B169" s="2155"/>
      <c r="C169" s="1720">
        <f t="shared" ref="C169:K169" si="6">SUM(C132,C141,C145,C146:C150,C155,C156:C167,C168)</f>
        <v>660</v>
      </c>
      <c r="D169" s="1720">
        <f t="shared" si="6"/>
        <v>0</v>
      </c>
      <c r="E169" s="1720">
        <f t="shared" si="6"/>
        <v>0</v>
      </c>
      <c r="F169" s="1720">
        <f t="shared" si="6"/>
        <v>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381606</v>
      </c>
      <c r="D170" s="1713">
        <f t="shared" si="7"/>
        <v>0</v>
      </c>
      <c r="E170" s="1713">
        <f t="shared" si="7"/>
        <v>0</v>
      </c>
      <c r="F170" s="1713">
        <f t="shared" si="7"/>
        <v>0</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6" t="s">
        <v>1492</v>
      </c>
      <c r="B172" s="215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0" t="s">
        <v>1665</v>
      </c>
      <c r="B175" s="2161"/>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4" t="s">
        <v>1664</v>
      </c>
      <c r="B176" s="216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2" t="s">
        <v>785</v>
      </c>
      <c r="B181" s="2163"/>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8" t="s">
        <v>1799</v>
      </c>
      <c r="B182" s="215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20058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14064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34122</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0</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90874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2496382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2587256</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1931</v>
      </c>
      <c r="B261" s="470">
        <v>4981</v>
      </c>
      <c r="C261" s="575"/>
      <c r="D261" s="576"/>
      <c r="E261" s="468"/>
      <c r="F261" s="576"/>
      <c r="G261" s="576"/>
      <c r="H261" s="468"/>
      <c r="I261" s="468"/>
      <c r="J261" s="468"/>
      <c r="K261" s="468"/>
    </row>
    <row r="262" spans="1:11" ht="12.75" customHeight="1" thickTop="1" thickBot="1" x14ac:dyDescent="0.25">
      <c r="A262" s="1928"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73699</v>
      </c>
      <c r="D263" s="576"/>
      <c r="E263" s="468"/>
      <c r="F263" s="576"/>
      <c r="G263" s="576"/>
      <c r="H263" s="468"/>
      <c r="I263" s="468"/>
      <c r="J263" s="468"/>
      <c r="K263" s="468"/>
    </row>
    <row r="264" spans="1:11" ht="12.75" customHeight="1" thickTop="1" thickBot="1" x14ac:dyDescent="0.25">
      <c r="A264" s="463" t="s">
        <v>377</v>
      </c>
      <c r="B264" s="470">
        <v>4992</v>
      </c>
      <c r="C264" s="575">
        <v>239378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2934455</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2934455</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6309667</v>
      </c>
      <c r="D268" s="1713">
        <f t="shared" si="12"/>
        <v>9270</v>
      </c>
      <c r="E268" s="1713">
        <f t="shared" si="12"/>
        <v>0</v>
      </c>
      <c r="F268" s="1713">
        <f t="shared" si="12"/>
        <v>0</v>
      </c>
      <c r="G268" s="1713">
        <f t="shared" si="12"/>
        <v>0</v>
      </c>
      <c r="H268" s="1713">
        <f t="shared" si="12"/>
        <v>0</v>
      </c>
      <c r="I268" s="1713">
        <f t="shared" si="12"/>
        <v>0</v>
      </c>
      <c r="J268" s="1713">
        <f t="shared" si="12"/>
        <v>0</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54" activePane="bottomLeft" state="frozen"/>
      <selection activeCell="C9" sqref="C9"/>
      <selection pane="bottomLeft" activeCell="L373" sqref="L3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4"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4" t="s">
        <v>297</v>
      </c>
      <c r="B3" s="217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69">
        <f>SUM(C5:J5)</f>
        <v>0</v>
      </c>
      <c r="L5" s="466">
        <v>0</v>
      </c>
    </row>
    <row r="6" spans="1:14" x14ac:dyDescent="0.2">
      <c r="A6" s="1504" t="s">
        <v>1433</v>
      </c>
      <c r="B6" s="614" t="s">
        <v>1431</v>
      </c>
      <c r="C6" s="477"/>
      <c r="D6" s="477"/>
      <c r="E6" s="466"/>
      <c r="F6" s="477"/>
      <c r="G6" s="477"/>
      <c r="H6" s="477"/>
      <c r="I6" s="477"/>
      <c r="J6" s="477"/>
      <c r="K6" s="1669">
        <f>SUM(C6,E6)</f>
        <v>0</v>
      </c>
      <c r="L6" s="466">
        <v>0</v>
      </c>
    </row>
    <row r="7" spans="1:14" x14ac:dyDescent="0.2">
      <c r="A7" s="1504" t="s">
        <v>163</v>
      </c>
      <c r="B7" s="614" t="s">
        <v>967</v>
      </c>
      <c r="C7" s="467"/>
      <c r="D7" s="467"/>
      <c r="E7" s="467"/>
      <c r="F7" s="467"/>
      <c r="G7" s="467"/>
      <c r="H7" s="467"/>
      <c r="I7" s="467"/>
      <c r="J7" s="467"/>
      <c r="K7" s="1669">
        <f t="shared" ref="K7:K32" si="0">SUM(C7:J7)</f>
        <v>0</v>
      </c>
      <c r="L7" s="466">
        <v>0</v>
      </c>
    </row>
    <row r="8" spans="1:14" x14ac:dyDescent="0.2">
      <c r="A8" s="1504" t="s">
        <v>164</v>
      </c>
      <c r="B8" s="614">
        <v>1200</v>
      </c>
      <c r="C8" s="466">
        <v>864886</v>
      </c>
      <c r="D8" s="466">
        <v>276241</v>
      </c>
      <c r="E8" s="466">
        <v>268153</v>
      </c>
      <c r="F8" s="466">
        <v>58998</v>
      </c>
      <c r="G8" s="466">
        <v>31772</v>
      </c>
      <c r="H8" s="466"/>
      <c r="I8" s="467"/>
      <c r="J8" s="467"/>
      <c r="K8" s="1669">
        <f t="shared" si="0"/>
        <v>1500050</v>
      </c>
      <c r="L8" s="466">
        <v>1655079</v>
      </c>
    </row>
    <row r="9" spans="1:14" x14ac:dyDescent="0.2">
      <c r="A9" s="1504" t="s">
        <v>721</v>
      </c>
      <c r="B9" s="614" t="s">
        <v>968</v>
      </c>
      <c r="C9" s="467"/>
      <c r="D9" s="467"/>
      <c r="E9" s="467"/>
      <c r="F9" s="467"/>
      <c r="G9" s="467"/>
      <c r="H9" s="467"/>
      <c r="I9" s="467"/>
      <c r="J9" s="467"/>
      <c r="K9" s="1669">
        <f t="shared" si="0"/>
        <v>0</v>
      </c>
      <c r="L9" s="466">
        <v>0</v>
      </c>
    </row>
    <row r="10" spans="1:14" x14ac:dyDescent="0.2">
      <c r="A10" s="1504" t="s">
        <v>722</v>
      </c>
      <c r="B10" s="614">
        <v>1250</v>
      </c>
      <c r="C10" s="466"/>
      <c r="D10" s="466"/>
      <c r="E10" s="466"/>
      <c r="F10" s="466"/>
      <c r="G10" s="466"/>
      <c r="H10" s="466"/>
      <c r="I10" s="467"/>
      <c r="J10" s="467"/>
      <c r="K10" s="1669">
        <f t="shared" si="0"/>
        <v>0</v>
      </c>
      <c r="L10" s="466">
        <v>0</v>
      </c>
    </row>
    <row r="11" spans="1:14" x14ac:dyDescent="0.2">
      <c r="A11" s="1504" t="s">
        <v>1130</v>
      </c>
      <c r="B11" s="614" t="s">
        <v>161</v>
      </c>
      <c r="C11" s="467"/>
      <c r="D11" s="467"/>
      <c r="E11" s="467"/>
      <c r="F11" s="467"/>
      <c r="G11" s="467"/>
      <c r="H11" s="467"/>
      <c r="I11" s="467"/>
      <c r="J11" s="467"/>
      <c r="K11" s="1669">
        <f t="shared" si="0"/>
        <v>0</v>
      </c>
      <c r="L11" s="466">
        <v>0</v>
      </c>
    </row>
    <row r="12" spans="1:14" x14ac:dyDescent="0.2">
      <c r="A12" s="1504" t="s">
        <v>962</v>
      </c>
      <c r="B12" s="614">
        <v>1300</v>
      </c>
      <c r="C12" s="466"/>
      <c r="D12" s="466"/>
      <c r="E12" s="466"/>
      <c r="F12" s="466"/>
      <c r="G12" s="466"/>
      <c r="H12" s="466"/>
      <c r="I12" s="467"/>
      <c r="J12" s="467"/>
      <c r="K12" s="1669">
        <f t="shared" si="0"/>
        <v>0</v>
      </c>
      <c r="L12" s="466">
        <v>0</v>
      </c>
    </row>
    <row r="13" spans="1:14" x14ac:dyDescent="0.2">
      <c r="A13" s="1504" t="s">
        <v>723</v>
      </c>
      <c r="B13" s="614">
        <v>1400</v>
      </c>
      <c r="C13" s="466"/>
      <c r="D13" s="466"/>
      <c r="E13" s="466"/>
      <c r="F13" s="466"/>
      <c r="G13" s="466"/>
      <c r="H13" s="466"/>
      <c r="I13" s="467"/>
      <c r="J13" s="467"/>
      <c r="K13" s="1669">
        <f t="shared" si="0"/>
        <v>0</v>
      </c>
      <c r="L13" s="466">
        <v>0</v>
      </c>
    </row>
    <row r="14" spans="1:14" x14ac:dyDescent="0.2">
      <c r="A14" s="1504" t="s">
        <v>963</v>
      </c>
      <c r="B14" s="614">
        <v>1500</v>
      </c>
      <c r="C14" s="466"/>
      <c r="D14" s="466"/>
      <c r="E14" s="466"/>
      <c r="F14" s="466"/>
      <c r="G14" s="466"/>
      <c r="H14" s="466"/>
      <c r="I14" s="467"/>
      <c r="J14" s="467"/>
      <c r="K14" s="1669">
        <f t="shared" si="0"/>
        <v>0</v>
      </c>
      <c r="L14" s="466">
        <v>0</v>
      </c>
    </row>
    <row r="15" spans="1:14" x14ac:dyDescent="0.2">
      <c r="A15" s="1504" t="s">
        <v>964</v>
      </c>
      <c r="B15" s="614">
        <v>1600</v>
      </c>
      <c r="C15" s="466">
        <v>83234</v>
      </c>
      <c r="D15" s="466">
        <v>9479</v>
      </c>
      <c r="E15" s="466"/>
      <c r="F15" s="466">
        <v>1203</v>
      </c>
      <c r="G15" s="466"/>
      <c r="H15" s="466"/>
      <c r="I15" s="467"/>
      <c r="J15" s="467"/>
      <c r="K15" s="1669">
        <f t="shared" si="0"/>
        <v>93916</v>
      </c>
      <c r="L15" s="466">
        <v>100258</v>
      </c>
    </row>
    <row r="16" spans="1:14" x14ac:dyDescent="0.2">
      <c r="A16" s="1504" t="s">
        <v>987</v>
      </c>
      <c r="B16" s="614" t="s">
        <v>424</v>
      </c>
      <c r="C16" s="466"/>
      <c r="D16" s="466"/>
      <c r="E16" s="466"/>
      <c r="F16" s="466"/>
      <c r="G16" s="466"/>
      <c r="H16" s="466"/>
      <c r="I16" s="467"/>
      <c r="J16" s="467"/>
      <c r="K16" s="1669">
        <f t="shared" si="0"/>
        <v>0</v>
      </c>
      <c r="L16" s="466">
        <v>0</v>
      </c>
    </row>
    <row r="17" spans="1:12" x14ac:dyDescent="0.2">
      <c r="A17" s="1504" t="s">
        <v>724</v>
      </c>
      <c r="B17" s="614" t="s">
        <v>162</v>
      </c>
      <c r="C17" s="467"/>
      <c r="D17" s="467"/>
      <c r="E17" s="467"/>
      <c r="F17" s="467"/>
      <c r="G17" s="467"/>
      <c r="H17" s="467"/>
      <c r="I17" s="467"/>
      <c r="J17" s="467"/>
      <c r="K17" s="1669">
        <f t="shared" si="0"/>
        <v>0</v>
      </c>
      <c r="L17" s="466">
        <v>0</v>
      </c>
    </row>
    <row r="18" spans="1:12" x14ac:dyDescent="0.2">
      <c r="A18" s="1504" t="s">
        <v>1087</v>
      </c>
      <c r="B18" s="614">
        <v>1800</v>
      </c>
      <c r="C18" s="466"/>
      <c r="D18" s="466"/>
      <c r="E18" s="466"/>
      <c r="F18" s="466"/>
      <c r="G18" s="466"/>
      <c r="H18" s="466"/>
      <c r="I18" s="467"/>
      <c r="J18" s="467"/>
      <c r="K18" s="1669">
        <f t="shared" si="0"/>
        <v>0</v>
      </c>
      <c r="L18" s="466">
        <v>0</v>
      </c>
    </row>
    <row r="19" spans="1:12" x14ac:dyDescent="0.2">
      <c r="A19" s="1504" t="s">
        <v>134</v>
      </c>
      <c r="B19" s="614">
        <v>1900</v>
      </c>
      <c r="C19" s="466"/>
      <c r="D19" s="466"/>
      <c r="E19" s="466"/>
      <c r="F19" s="466"/>
      <c r="G19" s="466"/>
      <c r="H19" s="466"/>
      <c r="I19" s="467"/>
      <c r="J19" s="467"/>
      <c r="K19" s="1669">
        <f t="shared" si="0"/>
        <v>0</v>
      </c>
      <c r="L19" s="466">
        <v>0</v>
      </c>
    </row>
    <row r="20" spans="1:12" x14ac:dyDescent="0.2">
      <c r="A20" s="1505" t="s">
        <v>738</v>
      </c>
      <c r="B20" s="602" t="s">
        <v>725</v>
      </c>
      <c r="C20" s="477"/>
      <c r="D20" s="477"/>
      <c r="E20" s="477"/>
      <c r="F20" s="477"/>
      <c r="G20" s="477"/>
      <c r="H20" s="474"/>
      <c r="I20" s="616"/>
      <c r="J20" s="475"/>
      <c r="K20" s="1669">
        <f t="shared" si="0"/>
        <v>0</v>
      </c>
      <c r="L20" s="471">
        <v>0</v>
      </c>
    </row>
    <row r="21" spans="1:12" x14ac:dyDescent="0.2">
      <c r="A21" s="1505" t="s">
        <v>739</v>
      </c>
      <c r="B21" s="602" t="s">
        <v>726</v>
      </c>
      <c r="C21" s="477"/>
      <c r="D21" s="477"/>
      <c r="E21" s="477"/>
      <c r="F21" s="477"/>
      <c r="G21" s="477"/>
      <c r="H21" s="474"/>
      <c r="I21" s="616"/>
      <c r="J21" s="477"/>
      <c r="K21" s="1669">
        <f t="shared" si="0"/>
        <v>0</v>
      </c>
      <c r="L21" s="471">
        <v>0</v>
      </c>
    </row>
    <row r="22" spans="1:12" x14ac:dyDescent="0.2">
      <c r="A22" s="1505" t="s">
        <v>740</v>
      </c>
      <c r="B22" s="602" t="s">
        <v>727</v>
      </c>
      <c r="C22" s="477"/>
      <c r="D22" s="477"/>
      <c r="E22" s="477"/>
      <c r="F22" s="477"/>
      <c r="G22" s="477"/>
      <c r="H22" s="474"/>
      <c r="I22" s="616"/>
      <c r="J22" s="477"/>
      <c r="K22" s="1669">
        <f t="shared" si="0"/>
        <v>0</v>
      </c>
      <c r="L22" s="471">
        <v>0</v>
      </c>
    </row>
    <row r="23" spans="1:12" x14ac:dyDescent="0.2">
      <c r="A23" s="1505" t="s">
        <v>741</v>
      </c>
      <c r="B23" s="602" t="s">
        <v>728</v>
      </c>
      <c r="C23" s="477"/>
      <c r="D23" s="477"/>
      <c r="E23" s="477"/>
      <c r="F23" s="477"/>
      <c r="G23" s="477"/>
      <c r="H23" s="474"/>
      <c r="I23" s="616"/>
      <c r="J23" s="477"/>
      <c r="K23" s="1669">
        <f t="shared" si="0"/>
        <v>0</v>
      </c>
      <c r="L23" s="471">
        <v>0</v>
      </c>
    </row>
    <row r="24" spans="1:12" ht="12.75" customHeight="1" x14ac:dyDescent="0.2">
      <c r="A24" s="1505" t="s">
        <v>742</v>
      </c>
      <c r="B24" s="602" t="s">
        <v>729</v>
      </c>
      <c r="C24" s="477"/>
      <c r="D24" s="477"/>
      <c r="E24" s="477"/>
      <c r="F24" s="477"/>
      <c r="G24" s="477"/>
      <c r="H24" s="474"/>
      <c r="I24" s="616"/>
      <c r="J24" s="477"/>
      <c r="K24" s="1669">
        <f t="shared" si="0"/>
        <v>0</v>
      </c>
      <c r="L24" s="471">
        <v>0</v>
      </c>
    </row>
    <row r="25" spans="1:12" ht="12.75" customHeight="1" x14ac:dyDescent="0.2">
      <c r="A25" s="1505" t="s">
        <v>802</v>
      </c>
      <c r="B25" s="602" t="s">
        <v>730</v>
      </c>
      <c r="C25" s="477"/>
      <c r="D25" s="477"/>
      <c r="E25" s="477"/>
      <c r="F25" s="477"/>
      <c r="G25" s="477"/>
      <c r="H25" s="474"/>
      <c r="I25" s="616"/>
      <c r="J25" s="477"/>
      <c r="K25" s="1669">
        <f t="shared" si="0"/>
        <v>0</v>
      </c>
      <c r="L25" s="471">
        <v>0</v>
      </c>
    </row>
    <row r="26" spans="1:12" x14ac:dyDescent="0.2">
      <c r="A26" s="1505" t="s">
        <v>622</v>
      </c>
      <c r="B26" s="602" t="s">
        <v>731</v>
      </c>
      <c r="C26" s="477"/>
      <c r="D26" s="477"/>
      <c r="E26" s="477"/>
      <c r="F26" s="477"/>
      <c r="G26" s="477"/>
      <c r="H26" s="474"/>
      <c r="I26" s="616"/>
      <c r="J26" s="477"/>
      <c r="K26" s="1669">
        <f t="shared" si="0"/>
        <v>0</v>
      </c>
      <c r="L26" s="471">
        <v>0</v>
      </c>
    </row>
    <row r="27" spans="1:12" x14ac:dyDescent="0.2">
      <c r="A27" s="1505" t="s">
        <v>623</v>
      </c>
      <c r="B27" s="602" t="s">
        <v>732</v>
      </c>
      <c r="C27" s="477"/>
      <c r="D27" s="477"/>
      <c r="E27" s="477"/>
      <c r="F27" s="477"/>
      <c r="G27" s="477"/>
      <c r="H27" s="474"/>
      <c r="I27" s="616"/>
      <c r="J27" s="477"/>
      <c r="K27" s="1669">
        <f t="shared" si="0"/>
        <v>0</v>
      </c>
      <c r="L27" s="471">
        <v>0</v>
      </c>
    </row>
    <row r="28" spans="1:12" x14ac:dyDescent="0.2">
      <c r="A28" s="1505" t="s">
        <v>150</v>
      </c>
      <c r="B28" s="602" t="s">
        <v>733</v>
      </c>
      <c r="C28" s="477"/>
      <c r="D28" s="477"/>
      <c r="E28" s="477"/>
      <c r="F28" s="477"/>
      <c r="G28" s="477"/>
      <c r="H28" s="474"/>
      <c r="I28" s="616"/>
      <c r="J28" s="477"/>
      <c r="K28" s="1669">
        <f t="shared" si="0"/>
        <v>0</v>
      </c>
      <c r="L28" s="471">
        <v>0</v>
      </c>
    </row>
    <row r="29" spans="1:12" x14ac:dyDescent="0.2">
      <c r="A29" s="1505" t="s">
        <v>151</v>
      </c>
      <c r="B29" s="602" t="s">
        <v>734</v>
      </c>
      <c r="C29" s="477"/>
      <c r="D29" s="477"/>
      <c r="E29" s="477"/>
      <c r="F29" s="477"/>
      <c r="G29" s="477"/>
      <c r="H29" s="474"/>
      <c r="I29" s="616"/>
      <c r="J29" s="477"/>
      <c r="K29" s="1669">
        <f t="shared" si="0"/>
        <v>0</v>
      </c>
      <c r="L29" s="471">
        <v>0</v>
      </c>
    </row>
    <row r="30" spans="1:12" x14ac:dyDescent="0.2">
      <c r="A30" s="1505" t="s">
        <v>152</v>
      </c>
      <c r="B30" s="602" t="s">
        <v>735</v>
      </c>
      <c r="C30" s="477"/>
      <c r="D30" s="477"/>
      <c r="E30" s="477"/>
      <c r="F30" s="477"/>
      <c r="G30" s="477"/>
      <c r="H30" s="474"/>
      <c r="I30" s="616"/>
      <c r="J30" s="477"/>
      <c r="K30" s="1669">
        <f t="shared" si="0"/>
        <v>0</v>
      </c>
      <c r="L30" s="471">
        <v>0</v>
      </c>
    </row>
    <row r="31" spans="1:12" x14ac:dyDescent="0.2">
      <c r="A31" s="1505" t="s">
        <v>153</v>
      </c>
      <c r="B31" s="602" t="s">
        <v>736</v>
      </c>
      <c r="C31" s="477"/>
      <c r="D31" s="477"/>
      <c r="E31" s="477"/>
      <c r="F31" s="477"/>
      <c r="G31" s="477"/>
      <c r="H31" s="474"/>
      <c r="I31" s="616"/>
      <c r="J31" s="477"/>
      <c r="K31" s="1669">
        <f t="shared" si="0"/>
        <v>0</v>
      </c>
      <c r="L31" s="471">
        <v>0</v>
      </c>
    </row>
    <row r="32" spans="1:12" x14ac:dyDescent="0.2">
      <c r="A32" s="1506"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948120</v>
      </c>
      <c r="D33" s="1668">
        <f t="shared" ref="D33:L33" si="1">SUM(D5:D32)</f>
        <v>285720</v>
      </c>
      <c r="E33" s="1668">
        <f t="shared" si="1"/>
        <v>268153</v>
      </c>
      <c r="F33" s="1668">
        <f t="shared" si="1"/>
        <v>60201</v>
      </c>
      <c r="G33" s="1668">
        <f t="shared" si="1"/>
        <v>31772</v>
      </c>
      <c r="H33" s="1668">
        <f t="shared" si="1"/>
        <v>0</v>
      </c>
      <c r="I33" s="1668">
        <f t="shared" si="1"/>
        <v>0</v>
      </c>
      <c r="J33" s="1668">
        <f t="shared" si="1"/>
        <v>0</v>
      </c>
      <c r="K33" s="1668">
        <f t="shared" si="1"/>
        <v>1593966</v>
      </c>
      <c r="L33" s="1668">
        <f t="shared" si="1"/>
        <v>1755337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143377</v>
      </c>
      <c r="D36" s="481">
        <v>18047</v>
      </c>
      <c r="E36" s="481">
        <v>4306</v>
      </c>
      <c r="F36" s="481">
        <v>1071</v>
      </c>
      <c r="G36" s="481"/>
      <c r="H36" s="481"/>
      <c r="I36" s="467"/>
      <c r="J36" s="467"/>
      <c r="K36" s="1669">
        <f t="shared" ref="K36:K41" si="2">SUM(C36:J36)</f>
        <v>166801</v>
      </c>
      <c r="L36" s="466">
        <v>168789</v>
      </c>
    </row>
    <row r="37" spans="1:14" x14ac:dyDescent="0.2">
      <c r="A37" s="1504" t="s">
        <v>1090</v>
      </c>
      <c r="B37" s="614">
        <v>2120</v>
      </c>
      <c r="C37" s="466">
        <v>16104</v>
      </c>
      <c r="D37" s="466">
        <v>1870</v>
      </c>
      <c r="E37" s="466">
        <v>142</v>
      </c>
      <c r="F37" s="466"/>
      <c r="G37" s="466"/>
      <c r="H37" s="466"/>
      <c r="I37" s="467"/>
      <c r="J37" s="467"/>
      <c r="K37" s="1669">
        <f t="shared" si="2"/>
        <v>18116</v>
      </c>
      <c r="L37" s="466">
        <v>0</v>
      </c>
    </row>
    <row r="38" spans="1:14" x14ac:dyDescent="0.2">
      <c r="A38" s="1504" t="s">
        <v>198</v>
      </c>
      <c r="B38" s="614">
        <v>2130</v>
      </c>
      <c r="C38" s="466">
        <v>383920</v>
      </c>
      <c r="D38" s="466">
        <v>114939</v>
      </c>
      <c r="E38" s="466">
        <v>23463</v>
      </c>
      <c r="F38" s="466">
        <v>5666</v>
      </c>
      <c r="G38" s="466">
        <v>24706</v>
      </c>
      <c r="H38" s="466"/>
      <c r="I38" s="467"/>
      <c r="J38" s="467"/>
      <c r="K38" s="1669">
        <f t="shared" si="2"/>
        <v>552694</v>
      </c>
      <c r="L38" s="466">
        <v>539717</v>
      </c>
    </row>
    <row r="39" spans="1:14" x14ac:dyDescent="0.2">
      <c r="A39" s="1504" t="s">
        <v>199</v>
      </c>
      <c r="B39" s="614">
        <v>2140</v>
      </c>
      <c r="C39" s="466">
        <v>365302</v>
      </c>
      <c r="D39" s="466">
        <v>45904</v>
      </c>
      <c r="E39" s="466">
        <v>12674</v>
      </c>
      <c r="F39" s="466">
        <v>14200</v>
      </c>
      <c r="G39" s="466">
        <v>8241</v>
      </c>
      <c r="H39" s="466">
        <v>536</v>
      </c>
      <c r="I39" s="467"/>
      <c r="J39" s="467"/>
      <c r="K39" s="1669">
        <f t="shared" si="2"/>
        <v>446857</v>
      </c>
      <c r="L39" s="466">
        <v>494281</v>
      </c>
    </row>
    <row r="40" spans="1:14" x14ac:dyDescent="0.2">
      <c r="A40" s="1504" t="s">
        <v>200</v>
      </c>
      <c r="B40" s="614">
        <v>2150</v>
      </c>
      <c r="C40" s="466">
        <v>564713</v>
      </c>
      <c r="D40" s="466">
        <v>73497</v>
      </c>
      <c r="E40" s="466">
        <v>12812</v>
      </c>
      <c r="F40" s="466">
        <v>6027</v>
      </c>
      <c r="G40" s="466">
        <v>11210</v>
      </c>
      <c r="H40" s="466"/>
      <c r="I40" s="467"/>
      <c r="J40" s="467"/>
      <c r="K40" s="1669">
        <f t="shared" si="2"/>
        <v>668259</v>
      </c>
      <c r="L40" s="466">
        <v>682926</v>
      </c>
    </row>
    <row r="41" spans="1:14" x14ac:dyDescent="0.2">
      <c r="A41" s="1504" t="s">
        <v>1669</v>
      </c>
      <c r="B41" s="614">
        <v>2190</v>
      </c>
      <c r="C41" s="466"/>
      <c r="D41" s="466"/>
      <c r="E41" s="466"/>
      <c r="F41" s="466"/>
      <c r="G41" s="466"/>
      <c r="H41" s="466"/>
      <c r="I41" s="467"/>
      <c r="J41" s="467"/>
      <c r="K41" s="1669">
        <f t="shared" si="2"/>
        <v>0</v>
      </c>
      <c r="L41" s="466">
        <v>0</v>
      </c>
    </row>
    <row r="42" spans="1:14" ht="12.75" customHeight="1" thickBot="1" x14ac:dyDescent="0.25">
      <c r="A42" s="1666" t="s">
        <v>560</v>
      </c>
      <c r="B42" s="1667" t="s">
        <v>716</v>
      </c>
      <c r="C42" s="1668">
        <f>SUM(C36:C41)</f>
        <v>1473416</v>
      </c>
      <c r="D42" s="1668">
        <f t="shared" ref="D42:L42" si="3">SUM(D36:D41)</f>
        <v>254257</v>
      </c>
      <c r="E42" s="1668">
        <f t="shared" si="3"/>
        <v>53397</v>
      </c>
      <c r="F42" s="1668">
        <f t="shared" si="3"/>
        <v>26964</v>
      </c>
      <c r="G42" s="1668">
        <f t="shared" si="3"/>
        <v>44157</v>
      </c>
      <c r="H42" s="1668">
        <f t="shared" si="3"/>
        <v>536</v>
      </c>
      <c r="I42" s="1668">
        <f t="shared" si="3"/>
        <v>0</v>
      </c>
      <c r="J42" s="1668">
        <f t="shared" si="3"/>
        <v>0</v>
      </c>
      <c r="K42" s="1668">
        <f t="shared" si="3"/>
        <v>1852727</v>
      </c>
      <c r="L42" s="1668">
        <f t="shared" si="3"/>
        <v>1885713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90143</v>
      </c>
      <c r="D44" s="481">
        <v>27667</v>
      </c>
      <c r="E44" s="481">
        <v>156082</v>
      </c>
      <c r="F44" s="481">
        <v>1931</v>
      </c>
      <c r="G44" s="481"/>
      <c r="H44" s="481"/>
      <c r="I44" s="467"/>
      <c r="J44" s="467"/>
      <c r="K44" s="1670">
        <f>SUM(C44:J44)</f>
        <v>275823</v>
      </c>
      <c r="L44" s="481">
        <v>248427</v>
      </c>
    </row>
    <row r="45" spans="1:14" x14ac:dyDescent="0.2">
      <c r="A45" s="1504" t="s">
        <v>815</v>
      </c>
      <c r="B45" s="614">
        <v>2220</v>
      </c>
      <c r="C45" s="466"/>
      <c r="D45" s="466"/>
      <c r="E45" s="466"/>
      <c r="F45" s="466"/>
      <c r="G45" s="466"/>
      <c r="H45" s="466"/>
      <c r="I45" s="467"/>
      <c r="J45" s="467"/>
      <c r="K45" s="1670">
        <f>SUM(C45:J45)</f>
        <v>0</v>
      </c>
      <c r="L45" s="466">
        <v>0</v>
      </c>
    </row>
    <row r="46" spans="1:14" x14ac:dyDescent="0.2">
      <c r="A46" s="1504" t="s">
        <v>816</v>
      </c>
      <c r="B46" s="614">
        <v>2230</v>
      </c>
      <c r="C46" s="466"/>
      <c r="D46" s="466"/>
      <c r="E46" s="466">
        <v>56640</v>
      </c>
      <c r="F46" s="466"/>
      <c r="G46" s="466"/>
      <c r="H46" s="466"/>
      <c r="I46" s="467"/>
      <c r="J46" s="467"/>
      <c r="K46" s="1670">
        <f>SUM(C46:J46)</f>
        <v>56640</v>
      </c>
      <c r="L46" s="466">
        <v>50000</v>
      </c>
    </row>
    <row r="47" spans="1:14" ht="12.75" customHeight="1" thickBot="1" x14ac:dyDescent="0.25">
      <c r="A47" s="1666" t="s">
        <v>561</v>
      </c>
      <c r="B47" s="1667" t="s">
        <v>32</v>
      </c>
      <c r="C47" s="1668">
        <f>SUM(C44:C46)</f>
        <v>90143</v>
      </c>
      <c r="D47" s="1668">
        <f t="shared" ref="D47:K47" si="4">SUM(D44:D46)</f>
        <v>27667</v>
      </c>
      <c r="E47" s="1668">
        <f t="shared" si="4"/>
        <v>212722</v>
      </c>
      <c r="F47" s="1668">
        <f t="shared" si="4"/>
        <v>1931</v>
      </c>
      <c r="G47" s="1668">
        <f t="shared" si="4"/>
        <v>0</v>
      </c>
      <c r="H47" s="1668">
        <f t="shared" si="4"/>
        <v>0</v>
      </c>
      <c r="I47" s="1668">
        <f t="shared" si="4"/>
        <v>0</v>
      </c>
      <c r="J47" s="1668">
        <f t="shared" si="4"/>
        <v>0</v>
      </c>
      <c r="K47" s="1668">
        <f t="shared" si="4"/>
        <v>332463</v>
      </c>
      <c r="L47" s="1668">
        <f>SUM(L44:L46)</f>
        <v>298427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20912</v>
      </c>
      <c r="F49" s="481"/>
      <c r="G49" s="481"/>
      <c r="H49" s="481"/>
      <c r="I49" s="467"/>
      <c r="J49" s="467"/>
      <c r="K49" s="1670">
        <f>SUM(C49:J49)</f>
        <v>20912</v>
      </c>
      <c r="L49" s="481">
        <v>20135</v>
      </c>
    </row>
    <row r="50" spans="1:14" x14ac:dyDescent="0.2">
      <c r="A50" s="1504" t="s">
        <v>818</v>
      </c>
      <c r="B50" s="614">
        <v>2320</v>
      </c>
      <c r="C50" s="466">
        <v>859859</v>
      </c>
      <c r="D50" s="466">
        <v>182484</v>
      </c>
      <c r="E50" s="466">
        <v>132292</v>
      </c>
      <c r="F50" s="466">
        <v>27320</v>
      </c>
      <c r="G50" s="466">
        <v>7831</v>
      </c>
      <c r="H50" s="466">
        <v>3633</v>
      </c>
      <c r="I50" s="467"/>
      <c r="J50" s="467"/>
      <c r="K50" s="1670">
        <f>SUM(C50:J50)</f>
        <v>1213419</v>
      </c>
      <c r="L50" s="466">
        <v>1246576</v>
      </c>
    </row>
    <row r="51" spans="1:14" x14ac:dyDescent="0.2">
      <c r="A51" s="1504" t="s">
        <v>42</v>
      </c>
      <c r="B51" s="614">
        <v>2330</v>
      </c>
      <c r="C51" s="466"/>
      <c r="D51" s="466"/>
      <c r="E51" s="466"/>
      <c r="F51" s="466"/>
      <c r="G51" s="466"/>
      <c r="H51" s="466"/>
      <c r="I51" s="467"/>
      <c r="J51" s="467"/>
      <c r="K51" s="1670">
        <f>SUM(C51:J51)</f>
        <v>0</v>
      </c>
      <c r="L51" s="466">
        <v>0</v>
      </c>
    </row>
    <row r="52" spans="1:14" ht="22.5" x14ac:dyDescent="0.2">
      <c r="A52" s="1505"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859859</v>
      </c>
      <c r="D53" s="1668">
        <f t="shared" ref="D53:L53" si="5">SUM(D49:D52)</f>
        <v>182484</v>
      </c>
      <c r="E53" s="1668">
        <f t="shared" si="5"/>
        <v>153204</v>
      </c>
      <c r="F53" s="1668">
        <f t="shared" si="5"/>
        <v>27320</v>
      </c>
      <c r="G53" s="1668">
        <f t="shared" si="5"/>
        <v>7831</v>
      </c>
      <c r="H53" s="1668">
        <f t="shared" si="5"/>
        <v>3633</v>
      </c>
      <c r="I53" s="1668">
        <f t="shared" si="5"/>
        <v>0</v>
      </c>
      <c r="J53" s="1668">
        <f t="shared" si="5"/>
        <v>0</v>
      </c>
      <c r="K53" s="1668">
        <f t="shared" si="5"/>
        <v>1234331</v>
      </c>
      <c r="L53" s="1668">
        <f t="shared" si="5"/>
        <v>1266711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0">
        <f>SUM(C55:J55)</f>
        <v>0</v>
      </c>
      <c r="L55" s="481">
        <v>0</v>
      </c>
    </row>
    <row r="56" spans="1:14" ht="12.75" customHeight="1" x14ac:dyDescent="0.2">
      <c r="A56" s="1508"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8">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4" t="s">
        <v>463</v>
      </c>
      <c r="B60" s="614">
        <v>2520</v>
      </c>
      <c r="C60" s="466">
        <v>73868</v>
      </c>
      <c r="D60" s="466">
        <v>18516</v>
      </c>
      <c r="E60" s="466">
        <v>21629</v>
      </c>
      <c r="F60" s="466">
        <v>1781</v>
      </c>
      <c r="G60" s="466"/>
      <c r="H60" s="466"/>
      <c r="I60" s="467"/>
      <c r="J60" s="467"/>
      <c r="K60" s="1670">
        <f t="shared" si="7"/>
        <v>115794</v>
      </c>
      <c r="L60" s="466">
        <v>86711</v>
      </c>
      <c r="M60" s="609"/>
      <c r="N60" s="609"/>
    </row>
    <row r="61" spans="1:14" s="343" customFormat="1" x14ac:dyDescent="0.2">
      <c r="A61" s="1504" t="s">
        <v>197</v>
      </c>
      <c r="B61" s="614">
        <v>2540</v>
      </c>
      <c r="C61" s="466">
        <v>30294</v>
      </c>
      <c r="D61" s="466">
        <v>11909</v>
      </c>
      <c r="E61" s="466">
        <v>24279</v>
      </c>
      <c r="F61" s="466">
        <v>40842</v>
      </c>
      <c r="G61" s="466"/>
      <c r="H61" s="466"/>
      <c r="I61" s="467"/>
      <c r="J61" s="467"/>
      <c r="K61" s="1670">
        <f t="shared" si="7"/>
        <v>107324</v>
      </c>
      <c r="L61" s="466">
        <v>66292</v>
      </c>
      <c r="M61" s="609"/>
      <c r="N61" s="609"/>
    </row>
    <row r="62" spans="1:14" s="343" customFormat="1" x14ac:dyDescent="0.2">
      <c r="A62" s="1504" t="s">
        <v>953</v>
      </c>
      <c r="B62" s="614">
        <v>2550</v>
      </c>
      <c r="C62" s="466"/>
      <c r="D62" s="466"/>
      <c r="E62" s="466"/>
      <c r="F62" s="466"/>
      <c r="G62" s="466"/>
      <c r="H62" s="466"/>
      <c r="I62" s="467"/>
      <c r="J62" s="467"/>
      <c r="K62" s="1670">
        <f t="shared" si="7"/>
        <v>0</v>
      </c>
      <c r="L62" s="466">
        <v>0</v>
      </c>
      <c r="M62" s="609"/>
      <c r="N62" s="609"/>
    </row>
    <row r="63" spans="1:14" s="609" customFormat="1" x14ac:dyDescent="0.2">
      <c r="A63" s="1504" t="s">
        <v>100</v>
      </c>
      <c r="B63" s="614">
        <v>2560</v>
      </c>
      <c r="C63" s="466"/>
      <c r="D63" s="466"/>
      <c r="E63" s="466"/>
      <c r="F63" s="466"/>
      <c r="G63" s="466"/>
      <c r="H63" s="466"/>
      <c r="I63" s="467"/>
      <c r="J63" s="467"/>
      <c r="K63" s="1670">
        <f t="shared" si="7"/>
        <v>0</v>
      </c>
      <c r="L63" s="466">
        <v>0</v>
      </c>
    </row>
    <row r="64" spans="1:14" s="609" customFormat="1" x14ac:dyDescent="0.2">
      <c r="A64" s="1509" t="s">
        <v>101</v>
      </c>
      <c r="B64" s="630">
        <v>2570</v>
      </c>
      <c r="C64" s="481"/>
      <c r="D64" s="481"/>
      <c r="E64" s="481"/>
      <c r="F64" s="481"/>
      <c r="G64" s="481"/>
      <c r="H64" s="481"/>
      <c r="I64" s="467"/>
      <c r="J64" s="467"/>
      <c r="K64" s="1670">
        <f t="shared" si="7"/>
        <v>0</v>
      </c>
      <c r="L64" s="481">
        <v>35350</v>
      </c>
    </row>
    <row r="65" spans="1:14" s="343" customFormat="1" ht="12.75" customHeight="1" thickBot="1" x14ac:dyDescent="0.25">
      <c r="A65" s="1666" t="s">
        <v>719</v>
      </c>
      <c r="B65" s="1667" t="s">
        <v>35</v>
      </c>
      <c r="C65" s="1668">
        <f>SUM(C59:C64)</f>
        <v>104162</v>
      </c>
      <c r="D65" s="1668">
        <f t="shared" ref="D65:L65" si="8">SUM(D59:D64)</f>
        <v>30425</v>
      </c>
      <c r="E65" s="1668">
        <f t="shared" si="8"/>
        <v>45908</v>
      </c>
      <c r="F65" s="1668">
        <f t="shared" si="8"/>
        <v>42623</v>
      </c>
      <c r="G65" s="1668">
        <f t="shared" si="8"/>
        <v>0</v>
      </c>
      <c r="H65" s="1668">
        <f t="shared" si="8"/>
        <v>0</v>
      </c>
      <c r="I65" s="1668">
        <f t="shared" si="8"/>
        <v>0</v>
      </c>
      <c r="J65" s="1668">
        <f t="shared" si="8"/>
        <v>0</v>
      </c>
      <c r="K65" s="1668">
        <f t="shared" si="8"/>
        <v>223118</v>
      </c>
      <c r="L65" s="1668">
        <f t="shared" si="8"/>
        <v>188353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v>0</v>
      </c>
      <c r="M67" s="609"/>
      <c r="N67" s="609"/>
    </row>
    <row r="68" spans="1:14" s="343" customFormat="1" x14ac:dyDescent="0.2">
      <c r="A68" s="1504" t="s">
        <v>607</v>
      </c>
      <c r="B68" s="614">
        <v>2620</v>
      </c>
      <c r="C68" s="466"/>
      <c r="D68" s="466"/>
      <c r="E68" s="466"/>
      <c r="F68" s="466"/>
      <c r="G68" s="466"/>
      <c r="H68" s="466"/>
      <c r="I68" s="467"/>
      <c r="J68" s="467"/>
      <c r="K68" s="1670">
        <f>SUM(C68:J68)</f>
        <v>0</v>
      </c>
      <c r="L68" s="466">
        <v>0</v>
      </c>
      <c r="M68" s="609"/>
      <c r="N68" s="609"/>
    </row>
    <row r="69" spans="1:14" s="343" customFormat="1" x14ac:dyDescent="0.2">
      <c r="A69" s="1504" t="s">
        <v>1061</v>
      </c>
      <c r="B69" s="614">
        <v>2630</v>
      </c>
      <c r="C69" s="466"/>
      <c r="D69" s="466"/>
      <c r="E69" s="466"/>
      <c r="F69" s="466"/>
      <c r="G69" s="466"/>
      <c r="H69" s="466"/>
      <c r="I69" s="467"/>
      <c r="J69" s="467"/>
      <c r="K69" s="1670">
        <f>SUM(C69:J69)</f>
        <v>0</v>
      </c>
      <c r="L69" s="466">
        <v>0</v>
      </c>
      <c r="M69" s="609"/>
      <c r="N69" s="609"/>
    </row>
    <row r="70" spans="1:14" s="343" customFormat="1" x14ac:dyDescent="0.2">
      <c r="A70" s="1504" t="s">
        <v>403</v>
      </c>
      <c r="B70" s="614">
        <v>2640</v>
      </c>
      <c r="C70" s="466"/>
      <c r="D70" s="466"/>
      <c r="E70" s="466"/>
      <c r="F70" s="466"/>
      <c r="G70" s="466"/>
      <c r="H70" s="466"/>
      <c r="I70" s="467"/>
      <c r="J70" s="467"/>
      <c r="K70" s="1670">
        <f>SUM(C70:J70)</f>
        <v>0</v>
      </c>
      <c r="L70" s="466">
        <v>0</v>
      </c>
      <c r="M70" s="609"/>
      <c r="N70" s="609"/>
    </row>
    <row r="71" spans="1:14" s="343" customFormat="1" x14ac:dyDescent="0.2">
      <c r="A71" s="1504" t="s">
        <v>404</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v>0</v>
      </c>
      <c r="M73" s="609"/>
      <c r="N73" s="609"/>
    </row>
    <row r="74" spans="1:14" ht="12.75" customHeight="1" thickTop="1" thickBot="1" x14ac:dyDescent="0.25">
      <c r="A74" s="1666" t="s">
        <v>811</v>
      </c>
      <c r="B74" s="1674">
        <v>2000</v>
      </c>
      <c r="C74" s="1675">
        <f>SUM(C42,C47,C53,C57,C65,C72,C73)</f>
        <v>2527580</v>
      </c>
      <c r="D74" s="1675">
        <f t="shared" ref="D74:K74" si="10">SUM(D42,D47,D53,D57,D65,D72,D73)</f>
        <v>494833</v>
      </c>
      <c r="E74" s="1675">
        <f t="shared" si="10"/>
        <v>465231</v>
      </c>
      <c r="F74" s="1675">
        <f t="shared" si="10"/>
        <v>98838</v>
      </c>
      <c r="G74" s="1675">
        <f t="shared" si="10"/>
        <v>51988</v>
      </c>
      <c r="H74" s="1675">
        <f t="shared" si="10"/>
        <v>4169</v>
      </c>
      <c r="I74" s="1675">
        <f t="shared" si="10"/>
        <v>0</v>
      </c>
      <c r="J74" s="1675">
        <f t="shared" si="10"/>
        <v>0</v>
      </c>
      <c r="K74" s="1675">
        <f t="shared" si="10"/>
        <v>3642639</v>
      </c>
      <c r="L74" s="1675">
        <f>SUM(L42,L47,L53,L57,L65,L72,L73)</f>
        <v>3639204</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v>0</v>
      </c>
    </row>
    <row r="79" spans="1:14" x14ac:dyDescent="0.2">
      <c r="A79" s="1504" t="s">
        <v>304</v>
      </c>
      <c r="B79" s="614">
        <v>4120</v>
      </c>
      <c r="C79" s="616"/>
      <c r="D79" s="616"/>
      <c r="E79" s="466">
        <v>24000</v>
      </c>
      <c r="F79" s="616"/>
      <c r="G79" s="616"/>
      <c r="H79" s="466">
        <v>635299</v>
      </c>
      <c r="I79" s="477"/>
      <c r="J79" s="477"/>
      <c r="K79" s="1669">
        <f t="shared" si="11"/>
        <v>659299</v>
      </c>
      <c r="L79" s="466">
        <v>817118</v>
      </c>
    </row>
    <row r="80" spans="1:14" x14ac:dyDescent="0.2">
      <c r="A80" s="1504" t="s">
        <v>305</v>
      </c>
      <c r="B80" s="614">
        <v>4130</v>
      </c>
      <c r="C80" s="616"/>
      <c r="D80" s="616"/>
      <c r="E80" s="466"/>
      <c r="F80" s="616"/>
      <c r="G80" s="616"/>
      <c r="H80" s="466"/>
      <c r="I80" s="477"/>
      <c r="J80" s="477"/>
      <c r="K80" s="1669">
        <f t="shared" si="11"/>
        <v>0</v>
      </c>
      <c r="L80" s="466">
        <v>0</v>
      </c>
    </row>
    <row r="81" spans="1:12" x14ac:dyDescent="0.2">
      <c r="A81" s="1504" t="s">
        <v>697</v>
      </c>
      <c r="B81" s="614">
        <v>4140</v>
      </c>
      <c r="C81" s="616"/>
      <c r="D81" s="616"/>
      <c r="E81" s="466"/>
      <c r="F81" s="616"/>
      <c r="G81" s="616"/>
      <c r="H81" s="466"/>
      <c r="I81" s="477"/>
      <c r="J81" s="477"/>
      <c r="K81" s="1669">
        <f t="shared" si="11"/>
        <v>0</v>
      </c>
      <c r="L81" s="466">
        <v>0</v>
      </c>
    </row>
    <row r="82" spans="1:12" x14ac:dyDescent="0.2">
      <c r="A82" s="1504" t="s">
        <v>86</v>
      </c>
      <c r="B82" s="614">
        <v>4170</v>
      </c>
      <c r="C82" s="616"/>
      <c r="D82" s="616"/>
      <c r="E82" s="466"/>
      <c r="F82" s="616"/>
      <c r="G82" s="616"/>
      <c r="H82" s="466"/>
      <c r="I82" s="477"/>
      <c r="J82" s="477"/>
      <c r="K82" s="1669">
        <f t="shared" si="11"/>
        <v>0</v>
      </c>
      <c r="L82" s="466">
        <v>0</v>
      </c>
    </row>
    <row r="83" spans="1:12" x14ac:dyDescent="0.2">
      <c r="A83" s="1508" t="s">
        <v>698</v>
      </c>
      <c r="B83" s="628">
        <v>4190</v>
      </c>
      <c r="C83" s="616"/>
      <c r="D83" s="616"/>
      <c r="E83" s="466"/>
      <c r="F83" s="616"/>
      <c r="G83" s="616"/>
      <c r="H83" s="466"/>
      <c r="I83" s="477"/>
      <c r="J83" s="477"/>
      <c r="K83" s="1669">
        <f t="shared" si="11"/>
        <v>0</v>
      </c>
      <c r="L83" s="466">
        <v>0</v>
      </c>
    </row>
    <row r="84" spans="1:12" ht="13.5" thickBot="1" x14ac:dyDescent="0.25">
      <c r="A84" s="1666" t="s">
        <v>1485</v>
      </c>
      <c r="B84" s="1676">
        <v>4100</v>
      </c>
      <c r="C84" s="616"/>
      <c r="D84" s="616"/>
      <c r="E84" s="1668">
        <f>SUM(E78:E83)</f>
        <v>24000</v>
      </c>
      <c r="F84" s="616"/>
      <c r="G84" s="616"/>
      <c r="H84" s="1668">
        <f>SUM(H78:H83)</f>
        <v>635299</v>
      </c>
      <c r="I84" s="477"/>
      <c r="J84" s="477"/>
      <c r="K84" s="1668">
        <f>SUM(K78:K83)</f>
        <v>659299</v>
      </c>
      <c r="L84" s="1668">
        <f>SUM(L78:L83)</f>
        <v>817118</v>
      </c>
    </row>
    <row r="85" spans="1:12" ht="12.75" customHeight="1" thickTop="1" thickBot="1" x14ac:dyDescent="0.25">
      <c r="A85" s="1511" t="s">
        <v>255</v>
      </c>
      <c r="B85" s="635">
        <v>4210</v>
      </c>
      <c r="C85" s="616"/>
      <c r="D85" s="616"/>
      <c r="E85" s="636"/>
      <c r="F85" s="616"/>
      <c r="G85" s="616"/>
      <c r="H85" s="535"/>
      <c r="I85" s="477"/>
      <c r="J85" s="477"/>
      <c r="K85" s="1675">
        <f>H85</f>
        <v>0</v>
      </c>
      <c r="L85" s="530">
        <v>0</v>
      </c>
    </row>
    <row r="86" spans="1:12" ht="12.75" customHeight="1" thickTop="1" thickBot="1" x14ac:dyDescent="0.25">
      <c r="A86" s="1512" t="s">
        <v>699</v>
      </c>
      <c r="B86" s="637">
        <v>4220</v>
      </c>
      <c r="C86" s="616"/>
      <c r="D86" s="616"/>
      <c r="E86" s="638"/>
      <c r="F86" s="616"/>
      <c r="G86" s="616"/>
      <c r="H86" s="467"/>
      <c r="I86" s="477"/>
      <c r="J86" s="477"/>
      <c r="K86" s="1675">
        <f t="shared" ref="K86:K98" si="12">H86</f>
        <v>0</v>
      </c>
      <c r="L86" s="530">
        <v>0</v>
      </c>
    </row>
    <row r="87" spans="1:12" ht="14.25" thickTop="1" thickBot="1" x14ac:dyDescent="0.25">
      <c r="A87" s="1513" t="s">
        <v>700</v>
      </c>
      <c r="B87" s="639">
        <v>4230</v>
      </c>
      <c r="C87" s="616"/>
      <c r="D87" s="616"/>
      <c r="E87" s="638"/>
      <c r="F87" s="616"/>
      <c r="G87" s="616"/>
      <c r="H87" s="467"/>
      <c r="I87" s="477"/>
      <c r="J87" s="477"/>
      <c r="K87" s="1675">
        <f t="shared" si="12"/>
        <v>0</v>
      </c>
      <c r="L87" s="530">
        <v>0</v>
      </c>
    </row>
    <row r="88" spans="1:12" ht="12.75" customHeight="1" thickTop="1" thickBot="1" x14ac:dyDescent="0.25">
      <c r="A88" s="1513" t="s">
        <v>765</v>
      </c>
      <c r="B88" s="639">
        <v>4240</v>
      </c>
      <c r="C88" s="616"/>
      <c r="D88" s="616"/>
      <c r="E88" s="638"/>
      <c r="F88" s="616"/>
      <c r="G88" s="616"/>
      <c r="H88" s="467"/>
      <c r="I88" s="477"/>
      <c r="J88" s="477"/>
      <c r="K88" s="1675">
        <f t="shared" si="12"/>
        <v>0</v>
      </c>
      <c r="L88" s="530">
        <v>0</v>
      </c>
    </row>
    <row r="89" spans="1:12" ht="12.75" customHeight="1" thickTop="1" thickBot="1" x14ac:dyDescent="0.25">
      <c r="A89" s="1513" t="s">
        <v>701</v>
      </c>
      <c r="B89" s="639">
        <v>4270</v>
      </c>
      <c r="C89" s="616"/>
      <c r="D89" s="616"/>
      <c r="E89" s="638"/>
      <c r="F89" s="616"/>
      <c r="G89" s="616"/>
      <c r="H89" s="467"/>
      <c r="I89" s="477"/>
      <c r="J89" s="477"/>
      <c r="K89" s="1675">
        <f t="shared" si="12"/>
        <v>0</v>
      </c>
      <c r="L89" s="530">
        <v>0</v>
      </c>
    </row>
    <row r="90" spans="1:12" ht="12.75" customHeight="1" thickTop="1" thickBot="1" x14ac:dyDescent="0.25">
      <c r="A90" s="1513" t="s">
        <v>686</v>
      </c>
      <c r="B90" s="639">
        <v>4280</v>
      </c>
      <c r="C90" s="616"/>
      <c r="D90" s="616"/>
      <c r="E90" s="638"/>
      <c r="F90" s="616"/>
      <c r="G90" s="616"/>
      <c r="H90" s="467"/>
      <c r="I90" s="477"/>
      <c r="J90" s="477"/>
      <c r="K90" s="1675">
        <f t="shared" si="12"/>
        <v>0</v>
      </c>
      <c r="L90" s="530">
        <v>0</v>
      </c>
    </row>
    <row r="91" spans="1:12" ht="12.75" customHeight="1" thickTop="1" thickBot="1" x14ac:dyDescent="0.25">
      <c r="A91" s="1513"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2" t="s">
        <v>688</v>
      </c>
      <c r="B93" s="640">
        <v>4310</v>
      </c>
      <c r="C93" s="616"/>
      <c r="D93" s="616"/>
      <c r="E93" s="638"/>
      <c r="F93" s="616"/>
      <c r="G93" s="616"/>
      <c r="H93" s="641"/>
      <c r="I93" s="477"/>
      <c r="J93" s="477"/>
      <c r="K93" s="1675">
        <f t="shared" si="12"/>
        <v>0</v>
      </c>
      <c r="L93" s="532">
        <v>0</v>
      </c>
    </row>
    <row r="94" spans="1:12" ht="12.75" customHeight="1" thickTop="1" thickBot="1" x14ac:dyDescent="0.25">
      <c r="A94" s="1513" t="s">
        <v>689</v>
      </c>
      <c r="B94" s="639">
        <v>4320</v>
      </c>
      <c r="C94" s="616"/>
      <c r="D94" s="616"/>
      <c r="E94" s="638"/>
      <c r="F94" s="616"/>
      <c r="G94" s="616"/>
      <c r="H94" s="467"/>
      <c r="I94" s="477"/>
      <c r="J94" s="477"/>
      <c r="K94" s="1675">
        <f t="shared" si="12"/>
        <v>0</v>
      </c>
      <c r="L94" s="530">
        <v>0</v>
      </c>
    </row>
    <row r="95" spans="1:12" ht="15" customHeight="1" thickTop="1" thickBot="1" x14ac:dyDescent="0.25">
      <c r="A95" s="1513" t="s">
        <v>1488</v>
      </c>
      <c r="B95" s="639">
        <v>4330</v>
      </c>
      <c r="C95" s="616"/>
      <c r="D95" s="616"/>
      <c r="E95" s="638"/>
      <c r="F95" s="616"/>
      <c r="G95" s="616"/>
      <c r="H95" s="467"/>
      <c r="I95" s="477"/>
      <c r="J95" s="477"/>
      <c r="K95" s="1675">
        <f t="shared" si="12"/>
        <v>0</v>
      </c>
      <c r="L95" s="530">
        <v>0</v>
      </c>
    </row>
    <row r="96" spans="1:12" ht="14.25" thickTop="1" thickBot="1" x14ac:dyDescent="0.25">
      <c r="A96" s="1513" t="s">
        <v>690</v>
      </c>
      <c r="B96" s="639">
        <v>4340</v>
      </c>
      <c r="C96" s="616"/>
      <c r="D96" s="616"/>
      <c r="E96" s="638"/>
      <c r="F96" s="616"/>
      <c r="G96" s="616"/>
      <c r="H96" s="467"/>
      <c r="I96" s="477"/>
      <c r="J96" s="477"/>
      <c r="K96" s="1675">
        <f t="shared" si="12"/>
        <v>0</v>
      </c>
      <c r="L96" s="530">
        <v>0</v>
      </c>
    </row>
    <row r="97" spans="1:14" ht="12.75" customHeight="1" thickTop="1" thickBot="1" x14ac:dyDescent="0.25">
      <c r="A97" s="1513" t="s">
        <v>763</v>
      </c>
      <c r="B97" s="639">
        <v>4370</v>
      </c>
      <c r="C97" s="616"/>
      <c r="D97" s="616"/>
      <c r="E97" s="638"/>
      <c r="F97" s="616"/>
      <c r="G97" s="616"/>
      <c r="H97" s="467"/>
      <c r="I97" s="477"/>
      <c r="J97" s="477"/>
      <c r="K97" s="1675">
        <f t="shared" si="12"/>
        <v>0</v>
      </c>
      <c r="L97" s="530">
        <v>0</v>
      </c>
    </row>
    <row r="98" spans="1:14" ht="14.25" thickTop="1" thickBot="1" x14ac:dyDescent="0.25">
      <c r="A98" s="1513" t="s">
        <v>764</v>
      </c>
      <c r="B98" s="639">
        <v>4380</v>
      </c>
      <c r="C98" s="616"/>
      <c r="D98" s="616"/>
      <c r="E98" s="642"/>
      <c r="F98" s="616"/>
      <c r="G98" s="616"/>
      <c r="H98" s="467"/>
      <c r="I98" s="477"/>
      <c r="J98" s="477"/>
      <c r="K98" s="1675">
        <f t="shared" si="12"/>
        <v>0</v>
      </c>
      <c r="L98" s="530">
        <v>0</v>
      </c>
    </row>
    <row r="99" spans="1:14" ht="14.25" thickTop="1" thickBot="1" x14ac:dyDescent="0.25">
      <c r="A99" s="1513"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24000</v>
      </c>
      <c r="F102" s="616"/>
      <c r="G102" s="616"/>
      <c r="H102" s="1675">
        <f>SUM(H84,H92,H100,H101)</f>
        <v>635299</v>
      </c>
      <c r="I102" s="477"/>
      <c r="J102" s="477"/>
      <c r="K102" s="1675">
        <f>SUM(K84,K92,K100,K101)</f>
        <v>659299</v>
      </c>
      <c r="L102" s="1675">
        <f>SUM(L84,L92,L100,L101)</f>
        <v>817118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v>0</v>
      </c>
      <c r="M105" s="210"/>
      <c r="N105" s="210"/>
    </row>
    <row r="106" spans="1:14" s="597" customFormat="1" x14ac:dyDescent="0.2">
      <c r="A106" s="1504"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3475700</v>
      </c>
      <c r="D114" s="1668">
        <f t="shared" ref="D114:K114" si="13">SUM(D33,D74,D75,D102,D112,D113)</f>
        <v>780553</v>
      </c>
      <c r="E114" s="1668">
        <f t="shared" si="13"/>
        <v>757384</v>
      </c>
      <c r="F114" s="1668">
        <f t="shared" si="13"/>
        <v>159039</v>
      </c>
      <c r="G114" s="1668">
        <f t="shared" si="13"/>
        <v>83760</v>
      </c>
      <c r="H114" s="1668">
        <f>SUM(H33,H74,H75,H102,H112,H113)</f>
        <v>639468</v>
      </c>
      <c r="I114" s="1668">
        <f t="shared" si="13"/>
        <v>0</v>
      </c>
      <c r="J114" s="1668">
        <f t="shared" si="13"/>
        <v>0</v>
      </c>
      <c r="K114" s="1668">
        <f t="shared" si="13"/>
        <v>5895904</v>
      </c>
      <c r="L114" s="1668">
        <f>SUM(L33,L74,L75,L102,L112,L113)</f>
        <v>6211659</v>
      </c>
    </row>
    <row r="115" spans="1:14" ht="13.5" thickTop="1" x14ac:dyDescent="0.2">
      <c r="A115" s="2166" t="s">
        <v>996</v>
      </c>
      <c r="B115" s="2167"/>
      <c r="C115" s="618"/>
      <c r="D115" s="618"/>
      <c r="E115" s="618"/>
      <c r="F115" s="618"/>
      <c r="G115" s="618"/>
      <c r="H115" s="618"/>
      <c r="I115" s="618"/>
      <c r="J115" s="618"/>
      <c r="K115" s="1682">
        <f>'Revenues 9-14'!C268-'Expenditures 15-22'!K114</f>
        <v>413763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1" t="s">
        <v>296</v>
      </c>
      <c r="B117" s="217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2054</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v>0</v>
      </c>
    </row>
    <row r="123" spans="1:14" ht="14.25" thickTop="1" thickBot="1" x14ac:dyDescent="0.25">
      <c r="A123" s="1504" t="s">
        <v>4</v>
      </c>
      <c r="B123" s="614">
        <v>2530</v>
      </c>
      <c r="C123" s="466"/>
      <c r="D123" s="466"/>
      <c r="E123" s="466"/>
      <c r="F123" s="466"/>
      <c r="G123" s="466"/>
      <c r="H123" s="466"/>
      <c r="I123" s="467"/>
      <c r="J123" s="467"/>
      <c r="K123" s="1668">
        <f>SUM(C123:J123)</f>
        <v>0</v>
      </c>
      <c r="L123" s="466">
        <v>0</v>
      </c>
    </row>
    <row r="124" spans="1:14" ht="14.25" thickTop="1" thickBot="1" x14ac:dyDescent="0.25">
      <c r="A124" s="1504" t="s">
        <v>197</v>
      </c>
      <c r="B124" s="614">
        <v>2540</v>
      </c>
      <c r="C124" s="466"/>
      <c r="D124" s="466"/>
      <c r="E124" s="466">
        <v>1345</v>
      </c>
      <c r="F124" s="466"/>
      <c r="G124" s="466"/>
      <c r="H124" s="466"/>
      <c r="I124" s="467"/>
      <c r="J124" s="467"/>
      <c r="K124" s="1668">
        <f>SUM(C124:J124)</f>
        <v>1345</v>
      </c>
      <c r="L124" s="466">
        <v>0</v>
      </c>
    </row>
    <row r="125" spans="1:14" ht="14.25" thickTop="1" thickBot="1" x14ac:dyDescent="0.25">
      <c r="A125" s="1504" t="s">
        <v>953</v>
      </c>
      <c r="B125" s="614">
        <v>2550</v>
      </c>
      <c r="C125" s="466"/>
      <c r="D125" s="466"/>
      <c r="E125" s="466"/>
      <c r="F125" s="466"/>
      <c r="G125" s="466"/>
      <c r="H125" s="466"/>
      <c r="I125" s="467"/>
      <c r="J125" s="467"/>
      <c r="K125" s="1668">
        <f>SUM(C125:J125)</f>
        <v>0</v>
      </c>
      <c r="L125" s="466">
        <v>0</v>
      </c>
    </row>
    <row r="126" spans="1:14" ht="14.25" thickTop="1" thickBot="1" x14ac:dyDescent="0.25">
      <c r="A126" s="1504"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0</v>
      </c>
      <c r="D127" s="1668">
        <f t="shared" ref="D127:L127" si="14">SUM(D122:D126)</f>
        <v>0</v>
      </c>
      <c r="E127" s="1668">
        <f t="shared" si="14"/>
        <v>1345</v>
      </c>
      <c r="F127" s="1668">
        <f t="shared" si="14"/>
        <v>0</v>
      </c>
      <c r="G127" s="1668">
        <f t="shared" si="14"/>
        <v>0</v>
      </c>
      <c r="H127" s="1668">
        <f t="shared" si="14"/>
        <v>0</v>
      </c>
      <c r="I127" s="1668">
        <f t="shared" si="14"/>
        <v>0</v>
      </c>
      <c r="J127" s="1668">
        <f t="shared" si="14"/>
        <v>0</v>
      </c>
      <c r="K127" s="1668">
        <f t="shared" si="14"/>
        <v>1345</v>
      </c>
      <c r="L127" s="1668">
        <f t="shared" si="14"/>
        <v>0</v>
      </c>
    </row>
    <row r="128" spans="1:14" ht="12.75" customHeight="1" thickTop="1" x14ac:dyDescent="0.2">
      <c r="A128" s="1511"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0</v>
      </c>
      <c r="D129" s="1675">
        <f t="shared" ref="D129:L129" si="15">SUM(D120,D127,D128)</f>
        <v>0</v>
      </c>
      <c r="E129" s="1675">
        <f t="shared" si="15"/>
        <v>1345</v>
      </c>
      <c r="F129" s="1675">
        <f t="shared" si="15"/>
        <v>0</v>
      </c>
      <c r="G129" s="1675">
        <f t="shared" si="15"/>
        <v>0</v>
      </c>
      <c r="H129" s="1675">
        <f t="shared" si="15"/>
        <v>0</v>
      </c>
      <c r="I129" s="1675">
        <f t="shared" si="15"/>
        <v>0</v>
      </c>
      <c r="J129" s="1675">
        <f t="shared" si="15"/>
        <v>0</v>
      </c>
      <c r="K129" s="1675">
        <f t="shared" si="15"/>
        <v>1345</v>
      </c>
      <c r="L129" s="1675">
        <f t="shared" si="15"/>
        <v>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1840</v>
      </c>
      <c r="C133" s="468"/>
      <c r="D133" s="468"/>
      <c r="E133" s="641"/>
      <c r="F133" s="468"/>
      <c r="G133" s="468"/>
      <c r="H133" s="641"/>
      <c r="I133" s="468"/>
      <c r="J133" s="468"/>
      <c r="K133" s="1819">
        <f>SUM(E133,H133)</f>
        <v>0</v>
      </c>
      <c r="L133" s="641">
        <v>0</v>
      </c>
      <c r="M133" s="206"/>
      <c r="N133" s="206"/>
    </row>
    <row r="134" spans="1:14" x14ac:dyDescent="0.2">
      <c r="A134" s="1504" t="s">
        <v>304</v>
      </c>
      <c r="B134" s="614">
        <v>4120</v>
      </c>
      <c r="C134" s="616"/>
      <c r="D134" s="616"/>
      <c r="E134" s="478"/>
      <c r="F134" s="616"/>
      <c r="G134" s="616"/>
      <c r="H134" s="481"/>
      <c r="I134" s="477"/>
      <c r="J134" s="616"/>
      <c r="K134" s="1670">
        <f>SUM(E134,H134)</f>
        <v>0</v>
      </c>
      <c r="L134" s="481">
        <v>0</v>
      </c>
    </row>
    <row r="135" spans="1:14" x14ac:dyDescent="0.2">
      <c r="A135" s="1504" t="s">
        <v>697</v>
      </c>
      <c r="B135" s="614">
        <v>4140</v>
      </c>
      <c r="C135" s="616"/>
      <c r="D135" s="616"/>
      <c r="E135" s="467"/>
      <c r="F135" s="616"/>
      <c r="G135" s="616"/>
      <c r="H135" s="466"/>
      <c r="I135" s="477"/>
      <c r="J135" s="616"/>
      <c r="K135" s="1670">
        <f>SUM(E135,H135)</f>
        <v>0</v>
      </c>
      <c r="L135" s="466">
        <v>0</v>
      </c>
    </row>
    <row r="136" spans="1:14" x14ac:dyDescent="0.2">
      <c r="A136" s="1508"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v>0</v>
      </c>
    </row>
    <row r="143" spans="1:14" x14ac:dyDescent="0.2">
      <c r="A143" s="1504" t="s">
        <v>88</v>
      </c>
      <c r="B143" s="614">
        <v>5120</v>
      </c>
      <c r="C143" s="616"/>
      <c r="D143" s="616"/>
      <c r="E143" s="616"/>
      <c r="F143" s="616"/>
      <c r="G143" s="616"/>
      <c r="H143" s="466"/>
      <c r="I143" s="468"/>
      <c r="J143" s="616"/>
      <c r="K143" s="1670">
        <f>SUM(H143)</f>
        <v>0</v>
      </c>
      <c r="L143" s="466">
        <v>0</v>
      </c>
    </row>
    <row r="144" spans="1:14" ht="12.75" customHeight="1" x14ac:dyDescent="0.2">
      <c r="A144" s="1504" t="s">
        <v>1170</v>
      </c>
      <c r="B144" s="628" t="s">
        <v>617</v>
      </c>
      <c r="C144" s="616"/>
      <c r="D144" s="616"/>
      <c r="E144" s="616"/>
      <c r="F144" s="616"/>
      <c r="G144" s="616"/>
      <c r="H144" s="466"/>
      <c r="I144" s="468"/>
      <c r="J144" s="616"/>
      <c r="K144" s="1670">
        <f>SUM(H144)</f>
        <v>0</v>
      </c>
      <c r="L144" s="466">
        <v>0</v>
      </c>
    </row>
    <row r="145" spans="1:14" x14ac:dyDescent="0.2">
      <c r="A145" s="1504" t="s">
        <v>89</v>
      </c>
      <c r="B145" s="614" t="s">
        <v>589</v>
      </c>
      <c r="C145" s="616"/>
      <c r="D145" s="616"/>
      <c r="E145" s="616"/>
      <c r="F145" s="616"/>
      <c r="G145" s="616"/>
      <c r="H145" s="466"/>
      <c r="I145" s="468"/>
      <c r="J145" s="616"/>
      <c r="K145" s="1670">
        <f>SUM(H145)</f>
        <v>0</v>
      </c>
      <c r="L145" s="466">
        <v>0</v>
      </c>
    </row>
    <row r="146" spans="1:14" ht="12.75" customHeight="1" x14ac:dyDescent="0.2">
      <c r="A146" s="1504" t="s">
        <v>619</v>
      </c>
      <c r="B146" s="614" t="s">
        <v>618</v>
      </c>
      <c r="C146" s="616"/>
      <c r="D146" s="616"/>
      <c r="E146" s="616"/>
      <c r="F146" s="616"/>
      <c r="G146" s="616"/>
      <c r="H146" s="466"/>
      <c r="I146" s="468"/>
      <c r="J146" s="616"/>
      <c r="K146" s="1670">
        <f>SUM(H146)</f>
        <v>0</v>
      </c>
      <c r="L146" s="466">
        <v>0</v>
      </c>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60000</v>
      </c>
    </row>
    <row r="151" spans="1:14" ht="12.75" customHeight="1" thickTop="1" thickBot="1" x14ac:dyDescent="0.25">
      <c r="A151" s="2183" t="s">
        <v>620</v>
      </c>
      <c r="B151" s="2163"/>
      <c r="C151" s="1668">
        <f>SUM(C129,C130,C139,C149,C150)</f>
        <v>0</v>
      </c>
      <c r="D151" s="1668">
        <f t="shared" ref="D151:K151" si="16">SUM(D129,D130,D139,D149,D150)</f>
        <v>0</v>
      </c>
      <c r="E151" s="1668">
        <f t="shared" si="16"/>
        <v>1345</v>
      </c>
      <c r="F151" s="1668">
        <f t="shared" si="16"/>
        <v>0</v>
      </c>
      <c r="G151" s="1668">
        <f t="shared" si="16"/>
        <v>0</v>
      </c>
      <c r="H151" s="1668">
        <f t="shared" si="16"/>
        <v>0</v>
      </c>
      <c r="I151" s="1668">
        <f t="shared" si="16"/>
        <v>0</v>
      </c>
      <c r="J151" s="1668">
        <f t="shared" si="16"/>
        <v>0</v>
      </c>
      <c r="K151" s="1668">
        <f t="shared" si="16"/>
        <v>1345</v>
      </c>
      <c r="L151" s="1668">
        <f>SUM(L129,L130,L139,L149,L150)</f>
        <v>60000</v>
      </c>
    </row>
    <row r="152" spans="1:14" ht="12.75" customHeight="1" thickTop="1" x14ac:dyDescent="0.2">
      <c r="A152" s="2186" t="s">
        <v>1178</v>
      </c>
      <c r="B152" s="2187"/>
      <c r="C152" s="618"/>
      <c r="D152" s="618"/>
      <c r="E152" s="618"/>
      <c r="F152" s="618"/>
      <c r="G152" s="618"/>
      <c r="H152" s="618"/>
      <c r="I152" s="618"/>
      <c r="J152" s="616"/>
      <c r="K152" s="1682">
        <f>'Revenues 9-14'!D268-'Expenditures 15-22'!K151</f>
        <v>7925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1" t="s">
        <v>621</v>
      </c>
      <c r="B154" s="217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1841</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1840</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1842</v>
      </c>
      <c r="C158" s="616"/>
      <c r="D158" s="616"/>
      <c r="E158" s="616"/>
      <c r="F158" s="616"/>
      <c r="G158" s="616"/>
      <c r="H158" s="467"/>
      <c r="I158" s="616"/>
      <c r="J158" s="616"/>
      <c r="K158" s="1669">
        <f>H158</f>
        <v>0</v>
      </c>
      <c r="L158" s="467">
        <v>0</v>
      </c>
      <c r="M158" s="619"/>
      <c r="N158" s="619"/>
    </row>
    <row r="159" spans="1:14" s="620" customFormat="1" ht="12" x14ac:dyDescent="0.2">
      <c r="A159" s="1824" t="s">
        <v>1843</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1844</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v>0</v>
      </c>
    </row>
    <row r="164" spans="1:14" x14ac:dyDescent="0.2">
      <c r="A164" s="1504" t="s">
        <v>88</v>
      </c>
      <c r="B164" s="614">
        <v>5120</v>
      </c>
      <c r="C164" s="616"/>
      <c r="D164" s="616"/>
      <c r="E164" s="616"/>
      <c r="F164" s="616"/>
      <c r="G164" s="616"/>
      <c r="H164" s="466"/>
      <c r="I164" s="616"/>
      <c r="J164" s="616"/>
      <c r="K164" s="1669">
        <f>SUM(C164:J164)</f>
        <v>0</v>
      </c>
      <c r="L164" s="466">
        <v>0</v>
      </c>
    </row>
    <row r="165" spans="1:14" ht="12.75" customHeight="1" x14ac:dyDescent="0.2">
      <c r="A165" s="1504" t="s">
        <v>1170</v>
      </c>
      <c r="B165" s="614" t="s">
        <v>617</v>
      </c>
      <c r="C165" s="616"/>
      <c r="D165" s="616"/>
      <c r="E165" s="616"/>
      <c r="F165" s="616"/>
      <c r="G165" s="616"/>
      <c r="H165" s="466"/>
      <c r="I165" s="616"/>
      <c r="J165" s="616"/>
      <c r="K165" s="1669">
        <f>SUM(C165:J165)</f>
        <v>0</v>
      </c>
      <c r="L165" s="466">
        <v>0</v>
      </c>
    </row>
    <row r="166" spans="1:14" x14ac:dyDescent="0.2">
      <c r="A166" s="1504" t="s">
        <v>89</v>
      </c>
      <c r="B166" s="628" t="s">
        <v>589</v>
      </c>
      <c r="C166" s="616"/>
      <c r="D166" s="616"/>
      <c r="E166" s="616"/>
      <c r="F166" s="616"/>
      <c r="G166" s="616"/>
      <c r="H166" s="466"/>
      <c r="I166" s="616"/>
      <c r="J166" s="616"/>
      <c r="K166" s="1669">
        <f>SUM(C166:J166)</f>
        <v>0</v>
      </c>
      <c r="L166" s="466">
        <v>0</v>
      </c>
    </row>
    <row r="167" spans="1:14" ht="12.75" customHeight="1" x14ac:dyDescent="0.2">
      <c r="A167" s="1504"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v>0</v>
      </c>
    </row>
    <row r="170" spans="1:14" ht="33.75" customHeight="1" x14ac:dyDescent="0.2">
      <c r="A170" s="669" t="s">
        <v>1670</v>
      </c>
      <c r="B170" s="671" t="s">
        <v>31</v>
      </c>
      <c r="C170" s="616"/>
      <c r="D170" s="616"/>
      <c r="E170" s="616"/>
      <c r="F170" s="616"/>
      <c r="G170" s="616"/>
      <c r="H170" s="569"/>
      <c r="I170" s="616"/>
      <c r="J170" s="616"/>
      <c r="K170" s="1669">
        <f>SUM(C170:J170)</f>
        <v>0</v>
      </c>
      <c r="L170" s="569">
        <v>0</v>
      </c>
    </row>
    <row r="171" spans="1:14" ht="15.75" customHeight="1" x14ac:dyDescent="0.2">
      <c r="A171" s="621" t="s">
        <v>766</v>
      </c>
      <c r="B171" s="672" t="s">
        <v>84</v>
      </c>
      <c r="C171" s="616"/>
      <c r="D171" s="616"/>
      <c r="E171" s="466"/>
      <c r="F171" s="616"/>
      <c r="G171" s="616"/>
      <c r="H171" s="569"/>
      <c r="I171" s="477"/>
      <c r="J171" s="616"/>
      <c r="K171" s="1669">
        <f>SUM(C171:J171)</f>
        <v>0</v>
      </c>
      <c r="L171" s="569">
        <v>0</v>
      </c>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66" t="s">
        <v>996</v>
      </c>
      <c r="B175" s="2167"/>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2054</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69">
        <f>SUM(C182:J182)</f>
        <v>0</v>
      </c>
      <c r="L182" s="466">
        <v>0</v>
      </c>
    </row>
    <row r="183" spans="1:14" ht="12.75" customHeight="1" thickBot="1" x14ac:dyDescent="0.25">
      <c r="A183" s="1509"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0</v>
      </c>
      <c r="D184" s="1675">
        <f t="shared" ref="D184:J184" si="17">SUM(D180,D182,D183)</f>
        <v>0</v>
      </c>
      <c r="E184" s="1675">
        <f t="shared" si="17"/>
        <v>0</v>
      </c>
      <c r="F184" s="1675">
        <f t="shared" si="17"/>
        <v>0</v>
      </c>
      <c r="G184" s="1675">
        <f t="shared" si="17"/>
        <v>0</v>
      </c>
      <c r="H184" s="1675">
        <f t="shared" si="17"/>
        <v>0</v>
      </c>
      <c r="I184" s="1675">
        <f t="shared" si="17"/>
        <v>0</v>
      </c>
      <c r="J184" s="1675">
        <f t="shared" si="17"/>
        <v>0</v>
      </c>
      <c r="K184" s="1675">
        <f>SUM(K180,K182,K183)</f>
        <v>0</v>
      </c>
      <c r="L184" s="1675">
        <f>SUM(L180, L182:L183)</f>
        <v>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v>0</v>
      </c>
    </row>
    <row r="189" spans="1:14" x14ac:dyDescent="0.2">
      <c r="A189" s="1504" t="s">
        <v>304</v>
      </c>
      <c r="B189" s="614">
        <v>4120</v>
      </c>
      <c r="C189" s="616"/>
      <c r="D189" s="616"/>
      <c r="E189" s="466"/>
      <c r="F189" s="616"/>
      <c r="G189" s="616"/>
      <c r="H189" s="466"/>
      <c r="I189" s="477"/>
      <c r="J189" s="616"/>
      <c r="K189" s="1669">
        <f t="shared" si="18"/>
        <v>0</v>
      </c>
      <c r="L189" s="466">
        <v>0</v>
      </c>
    </row>
    <row r="190" spans="1:14" x14ac:dyDescent="0.2">
      <c r="A190" s="1504" t="s">
        <v>305</v>
      </c>
      <c r="B190" s="628">
        <v>4130</v>
      </c>
      <c r="C190" s="616"/>
      <c r="D190" s="616"/>
      <c r="E190" s="466"/>
      <c r="F190" s="616"/>
      <c r="G190" s="616"/>
      <c r="H190" s="466"/>
      <c r="I190" s="477"/>
      <c r="J190" s="616"/>
      <c r="K190" s="1669">
        <f t="shared" si="18"/>
        <v>0</v>
      </c>
      <c r="L190" s="466">
        <v>0</v>
      </c>
    </row>
    <row r="191" spans="1:14" x14ac:dyDescent="0.2">
      <c r="A191" s="1504" t="s">
        <v>697</v>
      </c>
      <c r="B191" s="614">
        <v>4140</v>
      </c>
      <c r="C191" s="616"/>
      <c r="D191" s="616"/>
      <c r="E191" s="466"/>
      <c r="F191" s="616"/>
      <c r="G191" s="616"/>
      <c r="H191" s="466"/>
      <c r="I191" s="477"/>
      <c r="J191" s="616"/>
      <c r="K191" s="1669">
        <f t="shared" si="18"/>
        <v>0</v>
      </c>
      <c r="L191" s="466">
        <v>0</v>
      </c>
    </row>
    <row r="192" spans="1:14" x14ac:dyDescent="0.2">
      <c r="A192" s="1504" t="s">
        <v>86</v>
      </c>
      <c r="B192" s="614">
        <v>4170</v>
      </c>
      <c r="C192" s="616"/>
      <c r="D192" s="616"/>
      <c r="E192" s="466"/>
      <c r="F192" s="616"/>
      <c r="G192" s="616"/>
      <c r="H192" s="466"/>
      <c r="I192" s="477"/>
      <c r="J192" s="616"/>
      <c r="K192" s="1669">
        <f t="shared" si="18"/>
        <v>0</v>
      </c>
      <c r="L192" s="466">
        <v>0</v>
      </c>
    </row>
    <row r="193" spans="1:14" x14ac:dyDescent="0.2">
      <c r="A193" s="1508"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v>0</v>
      </c>
    </row>
    <row r="200" spans="1:14" x14ac:dyDescent="0.2">
      <c r="A200" s="1504" t="s">
        <v>88</v>
      </c>
      <c r="B200" s="614">
        <v>5120</v>
      </c>
      <c r="C200" s="616"/>
      <c r="D200" s="616"/>
      <c r="E200" s="616"/>
      <c r="F200" s="616"/>
      <c r="G200" s="616"/>
      <c r="H200" s="466"/>
      <c r="I200" s="616"/>
      <c r="J200" s="616"/>
      <c r="K200" s="1669">
        <f>SUM(H200)</f>
        <v>0</v>
      </c>
      <c r="L200" s="466">
        <v>0</v>
      </c>
    </row>
    <row r="201" spans="1:14" ht="12.75" customHeight="1" x14ac:dyDescent="0.2">
      <c r="A201" s="1504" t="s">
        <v>1170</v>
      </c>
      <c r="B201" s="628" t="s">
        <v>617</v>
      </c>
      <c r="C201" s="616"/>
      <c r="D201" s="616"/>
      <c r="E201" s="616"/>
      <c r="F201" s="616"/>
      <c r="G201" s="616"/>
      <c r="H201" s="466"/>
      <c r="I201" s="616"/>
      <c r="J201" s="616"/>
      <c r="K201" s="1669">
        <f>SUM(H201)</f>
        <v>0</v>
      </c>
      <c r="L201" s="466">
        <v>0</v>
      </c>
    </row>
    <row r="202" spans="1:14" x14ac:dyDescent="0.2">
      <c r="A202" s="1504" t="s">
        <v>89</v>
      </c>
      <c r="B202" s="614" t="s">
        <v>589</v>
      </c>
      <c r="C202" s="616"/>
      <c r="D202" s="616"/>
      <c r="E202" s="616"/>
      <c r="F202" s="616"/>
      <c r="G202" s="616"/>
      <c r="H202" s="466"/>
      <c r="I202" s="616"/>
      <c r="J202" s="616"/>
      <c r="K202" s="1669">
        <f>SUM(H202)</f>
        <v>0</v>
      </c>
      <c r="L202" s="466">
        <v>0</v>
      </c>
    </row>
    <row r="203" spans="1:14" x14ac:dyDescent="0.2">
      <c r="A203" s="1516"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1671</v>
      </c>
      <c r="B206" s="672" t="s">
        <v>31</v>
      </c>
      <c r="C206" s="616"/>
      <c r="D206" s="616"/>
      <c r="E206" s="616"/>
      <c r="F206" s="616"/>
      <c r="G206" s="616"/>
      <c r="H206" s="466"/>
      <c r="I206" s="616"/>
      <c r="J206" s="616"/>
      <c r="K206" s="1669">
        <f>SUM(H206)</f>
        <v>0</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0</v>
      </c>
      <c r="D210" s="1668">
        <f>SUM(D184,D185)</f>
        <v>0</v>
      </c>
      <c r="E210" s="1668">
        <f>SUM(E184,E185,E196)</f>
        <v>0</v>
      </c>
      <c r="F210" s="1668">
        <f>SUM(F184,F185)</f>
        <v>0</v>
      </c>
      <c r="G210" s="1668">
        <f>SUM(G184,G185)</f>
        <v>0</v>
      </c>
      <c r="H210" s="1668">
        <f>SUM(H184,H185,H196,H208,H209)</f>
        <v>0</v>
      </c>
      <c r="I210" s="1668">
        <f>SUM(I184,I185)</f>
        <v>0</v>
      </c>
      <c r="J210" s="1668">
        <f>SUM(J184,J185)</f>
        <v>0</v>
      </c>
      <c r="K210" s="1669">
        <f>SUM(K184,K185,K196,K208,K209)</f>
        <v>0</v>
      </c>
      <c r="L210" s="1668">
        <f>SUM(L184,L185,L196,L208,L209)</f>
        <v>0</v>
      </c>
    </row>
    <row r="211" spans="1:14" ht="13.5" thickTop="1" x14ac:dyDescent="0.2">
      <c r="A211" s="2166" t="s">
        <v>996</v>
      </c>
      <c r="B211" s="2167"/>
      <c r="C211" s="618"/>
      <c r="D211" s="618"/>
      <c r="E211" s="618"/>
      <c r="F211" s="618"/>
      <c r="G211" s="618"/>
      <c r="H211" s="618"/>
      <c r="I211" s="616"/>
      <c r="J211" s="616"/>
      <c r="K211" s="1682">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8" t="s">
        <v>965</v>
      </c>
      <c r="B213" s="218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69">
        <f>D215</f>
        <v>0</v>
      </c>
      <c r="L215" s="466">
        <v>0</v>
      </c>
    </row>
    <row r="216" spans="1:14" x14ac:dyDescent="0.2">
      <c r="A216" s="1504" t="s">
        <v>163</v>
      </c>
      <c r="B216" s="614" t="s">
        <v>967</v>
      </c>
      <c r="C216" s="616"/>
      <c r="D216" s="467"/>
      <c r="E216" s="616"/>
      <c r="F216" s="616"/>
      <c r="G216" s="616"/>
      <c r="H216" s="616"/>
      <c r="I216" s="616"/>
      <c r="J216" s="616"/>
      <c r="K216" s="1669">
        <f t="shared" ref="K216:K228" si="19">D216</f>
        <v>0</v>
      </c>
      <c r="L216" s="466">
        <v>0</v>
      </c>
    </row>
    <row r="217" spans="1:14" x14ac:dyDescent="0.2">
      <c r="A217" s="1504" t="s">
        <v>164</v>
      </c>
      <c r="B217" s="614">
        <v>1200</v>
      </c>
      <c r="C217" s="616"/>
      <c r="D217" s="466"/>
      <c r="E217" s="616"/>
      <c r="F217" s="616"/>
      <c r="G217" s="616"/>
      <c r="H217" s="616"/>
      <c r="I217" s="616"/>
      <c r="J217" s="616"/>
      <c r="K217" s="1669">
        <f t="shared" si="19"/>
        <v>0</v>
      </c>
      <c r="L217" s="466">
        <v>0</v>
      </c>
    </row>
    <row r="218" spans="1:14" x14ac:dyDescent="0.2">
      <c r="A218" s="1504" t="s">
        <v>278</v>
      </c>
      <c r="B218" s="614" t="s">
        <v>968</v>
      </c>
      <c r="C218" s="616"/>
      <c r="D218" s="467"/>
      <c r="E218" s="616"/>
      <c r="F218" s="616"/>
      <c r="G218" s="616"/>
      <c r="H218" s="616"/>
      <c r="I218" s="616"/>
      <c r="J218" s="616"/>
      <c r="K218" s="1669">
        <f t="shared" si="19"/>
        <v>0</v>
      </c>
      <c r="L218" s="466">
        <v>0</v>
      </c>
    </row>
    <row r="219" spans="1:14" x14ac:dyDescent="0.2">
      <c r="A219" s="1504" t="s">
        <v>279</v>
      </c>
      <c r="B219" s="614">
        <v>1250</v>
      </c>
      <c r="C219" s="616"/>
      <c r="D219" s="466"/>
      <c r="E219" s="616"/>
      <c r="F219" s="616"/>
      <c r="G219" s="616"/>
      <c r="H219" s="616"/>
      <c r="I219" s="616"/>
      <c r="J219" s="616"/>
      <c r="K219" s="1669">
        <f t="shared" si="19"/>
        <v>0</v>
      </c>
      <c r="L219" s="466">
        <v>0</v>
      </c>
    </row>
    <row r="220" spans="1:14" x14ac:dyDescent="0.2">
      <c r="A220" s="1504" t="s">
        <v>280</v>
      </c>
      <c r="B220" s="614" t="s">
        <v>161</v>
      </c>
      <c r="C220" s="616"/>
      <c r="D220" s="467"/>
      <c r="E220" s="616"/>
      <c r="F220" s="616"/>
      <c r="G220" s="616"/>
      <c r="H220" s="616"/>
      <c r="I220" s="616"/>
      <c r="J220" s="616"/>
      <c r="K220" s="1669">
        <f t="shared" si="19"/>
        <v>0</v>
      </c>
      <c r="L220" s="466">
        <v>0</v>
      </c>
    </row>
    <row r="221" spans="1:14" x14ac:dyDescent="0.2">
      <c r="A221" s="1504" t="s">
        <v>962</v>
      </c>
      <c r="B221" s="614">
        <v>1300</v>
      </c>
      <c r="C221" s="616"/>
      <c r="D221" s="466"/>
      <c r="E221" s="616"/>
      <c r="F221" s="616"/>
      <c r="G221" s="616"/>
      <c r="H221" s="616"/>
      <c r="I221" s="616"/>
      <c r="J221" s="616"/>
      <c r="K221" s="1669">
        <f t="shared" si="19"/>
        <v>0</v>
      </c>
      <c r="L221" s="466">
        <v>0</v>
      </c>
    </row>
    <row r="222" spans="1:14" x14ac:dyDescent="0.2">
      <c r="A222" s="1504" t="s">
        <v>723</v>
      </c>
      <c r="B222" s="614">
        <v>1400</v>
      </c>
      <c r="C222" s="616"/>
      <c r="D222" s="466"/>
      <c r="E222" s="616"/>
      <c r="F222" s="616"/>
      <c r="G222" s="616"/>
      <c r="H222" s="616"/>
      <c r="I222" s="616"/>
      <c r="J222" s="616"/>
      <c r="K222" s="1669">
        <f t="shared" si="19"/>
        <v>0</v>
      </c>
      <c r="L222" s="466">
        <v>0</v>
      </c>
    </row>
    <row r="223" spans="1:14" x14ac:dyDescent="0.2">
      <c r="A223" s="1504" t="s">
        <v>963</v>
      </c>
      <c r="B223" s="614">
        <v>1500</v>
      </c>
      <c r="C223" s="616"/>
      <c r="D223" s="466"/>
      <c r="E223" s="616"/>
      <c r="F223" s="616"/>
      <c r="G223" s="616"/>
      <c r="H223" s="616"/>
      <c r="I223" s="616"/>
      <c r="J223" s="616"/>
      <c r="K223" s="1669">
        <f t="shared" si="19"/>
        <v>0</v>
      </c>
      <c r="L223" s="466">
        <v>0</v>
      </c>
    </row>
    <row r="224" spans="1:14" x14ac:dyDescent="0.2">
      <c r="A224" s="1504" t="s">
        <v>964</v>
      </c>
      <c r="B224" s="614">
        <v>1600</v>
      </c>
      <c r="C224" s="616"/>
      <c r="D224" s="466"/>
      <c r="E224" s="616"/>
      <c r="F224" s="616"/>
      <c r="G224" s="616"/>
      <c r="H224" s="616"/>
      <c r="I224" s="616"/>
      <c r="J224" s="616"/>
      <c r="K224" s="1669">
        <f t="shared" si="19"/>
        <v>0</v>
      </c>
      <c r="L224" s="466">
        <v>0</v>
      </c>
    </row>
    <row r="225" spans="1:12" x14ac:dyDescent="0.2">
      <c r="A225" s="1504" t="s">
        <v>987</v>
      </c>
      <c r="B225" s="614">
        <v>1650</v>
      </c>
      <c r="C225" s="616"/>
      <c r="D225" s="466"/>
      <c r="E225" s="616"/>
      <c r="F225" s="616"/>
      <c r="G225" s="616"/>
      <c r="H225" s="616"/>
      <c r="I225" s="616"/>
      <c r="J225" s="616"/>
      <c r="K225" s="1669">
        <f t="shared" si="19"/>
        <v>0</v>
      </c>
      <c r="L225" s="466">
        <v>0</v>
      </c>
    </row>
    <row r="226" spans="1:12" x14ac:dyDescent="0.2">
      <c r="A226" s="1504" t="s">
        <v>724</v>
      </c>
      <c r="B226" s="614" t="s">
        <v>162</v>
      </c>
      <c r="C226" s="616"/>
      <c r="D226" s="467"/>
      <c r="E226" s="616"/>
      <c r="F226" s="616"/>
      <c r="G226" s="616"/>
      <c r="H226" s="616"/>
      <c r="I226" s="616"/>
      <c r="J226" s="616"/>
      <c r="K226" s="1669">
        <f t="shared" si="19"/>
        <v>0</v>
      </c>
      <c r="L226" s="466">
        <v>0</v>
      </c>
    </row>
    <row r="227" spans="1:12" x14ac:dyDescent="0.2">
      <c r="A227" s="1504" t="s">
        <v>1087</v>
      </c>
      <c r="B227" s="614">
        <v>1800</v>
      </c>
      <c r="C227" s="616"/>
      <c r="D227" s="466"/>
      <c r="E227" s="616"/>
      <c r="F227" s="616"/>
      <c r="G227" s="616"/>
      <c r="H227" s="616"/>
      <c r="I227" s="616"/>
      <c r="J227" s="616"/>
      <c r="K227" s="1669">
        <f t="shared" si="19"/>
        <v>0</v>
      </c>
      <c r="L227" s="466">
        <v>0</v>
      </c>
    </row>
    <row r="228" spans="1:12" x14ac:dyDescent="0.2">
      <c r="A228" s="1504" t="s">
        <v>1088</v>
      </c>
      <c r="B228" s="614">
        <v>1900</v>
      </c>
      <c r="C228" s="616"/>
      <c r="D228" s="466"/>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0</v>
      </c>
      <c r="E229" s="616"/>
      <c r="F229" s="616"/>
      <c r="G229" s="616"/>
      <c r="H229" s="616"/>
      <c r="I229" s="616"/>
      <c r="J229" s="616"/>
      <c r="K229" s="1668">
        <f>SUM(K215:K228)</f>
        <v>0</v>
      </c>
      <c r="L229" s="1668">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v>0</v>
      </c>
    </row>
    <row r="233" spans="1:12" x14ac:dyDescent="0.2">
      <c r="A233" s="1504" t="s">
        <v>1090</v>
      </c>
      <c r="B233" s="614">
        <v>2120</v>
      </c>
      <c r="C233" s="616"/>
      <c r="D233" s="466"/>
      <c r="E233" s="616"/>
      <c r="F233" s="616"/>
      <c r="G233" s="616"/>
      <c r="H233" s="616"/>
      <c r="I233" s="616"/>
      <c r="J233" s="616"/>
      <c r="K233" s="1669">
        <f t="shared" si="20"/>
        <v>0</v>
      </c>
      <c r="L233" s="466">
        <v>0</v>
      </c>
    </row>
    <row r="234" spans="1:12" x14ac:dyDescent="0.2">
      <c r="A234" s="1504" t="s">
        <v>198</v>
      </c>
      <c r="B234" s="614">
        <v>2130</v>
      </c>
      <c r="C234" s="616"/>
      <c r="D234" s="466"/>
      <c r="E234" s="616"/>
      <c r="F234" s="616"/>
      <c r="G234" s="616"/>
      <c r="H234" s="616"/>
      <c r="I234" s="616"/>
      <c r="J234" s="616"/>
      <c r="K234" s="1669">
        <f t="shared" si="20"/>
        <v>0</v>
      </c>
      <c r="L234" s="466">
        <v>0</v>
      </c>
    </row>
    <row r="235" spans="1:12" x14ac:dyDescent="0.2">
      <c r="A235" s="1504" t="s">
        <v>199</v>
      </c>
      <c r="B235" s="614">
        <v>2140</v>
      </c>
      <c r="C235" s="616"/>
      <c r="D235" s="466"/>
      <c r="E235" s="616"/>
      <c r="F235" s="616"/>
      <c r="G235" s="616"/>
      <c r="H235" s="616"/>
      <c r="I235" s="616"/>
      <c r="J235" s="616"/>
      <c r="K235" s="1669">
        <f t="shared" si="20"/>
        <v>0</v>
      </c>
      <c r="L235" s="466">
        <v>0</v>
      </c>
    </row>
    <row r="236" spans="1:12" x14ac:dyDescent="0.2">
      <c r="A236" s="1504" t="s">
        <v>200</v>
      </c>
      <c r="B236" s="614">
        <v>2150</v>
      </c>
      <c r="C236" s="616"/>
      <c r="D236" s="466"/>
      <c r="E236" s="616"/>
      <c r="F236" s="616"/>
      <c r="G236" s="616"/>
      <c r="H236" s="616"/>
      <c r="I236" s="616"/>
      <c r="J236" s="616"/>
      <c r="K236" s="1669">
        <f t="shared" si="20"/>
        <v>0</v>
      </c>
      <c r="L236" s="466">
        <v>0</v>
      </c>
    </row>
    <row r="237" spans="1:12" x14ac:dyDescent="0.2">
      <c r="A237" s="1504"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v>0</v>
      </c>
    </row>
    <row r="241" spans="1:12" x14ac:dyDescent="0.2">
      <c r="A241" s="1504" t="s">
        <v>815</v>
      </c>
      <c r="B241" s="614">
        <v>2220</v>
      </c>
      <c r="C241" s="616"/>
      <c r="D241" s="466"/>
      <c r="E241" s="616"/>
      <c r="F241" s="616"/>
      <c r="G241" s="616"/>
      <c r="H241" s="616"/>
      <c r="I241" s="616"/>
      <c r="J241" s="616"/>
      <c r="K241" s="1670">
        <f>D241</f>
        <v>0</v>
      </c>
      <c r="L241" s="466">
        <v>0</v>
      </c>
    </row>
    <row r="242" spans="1:12" x14ac:dyDescent="0.2">
      <c r="A242" s="1504"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v>0</v>
      </c>
    </row>
    <row r="246" spans="1:12" x14ac:dyDescent="0.2">
      <c r="A246" s="1504" t="s">
        <v>818</v>
      </c>
      <c r="B246" s="614">
        <v>2320</v>
      </c>
      <c r="C246" s="616"/>
      <c r="D246" s="466"/>
      <c r="E246" s="616"/>
      <c r="F246" s="616"/>
      <c r="G246" s="616"/>
      <c r="H246" s="616"/>
      <c r="I246" s="616"/>
      <c r="J246" s="616"/>
      <c r="K246" s="1670">
        <f t="shared" ref="K246:K256" si="21">D246</f>
        <v>0</v>
      </c>
      <c r="L246" s="466">
        <v>0</v>
      </c>
    </row>
    <row r="247" spans="1:12" x14ac:dyDescent="0.2">
      <c r="A247" s="1504" t="s">
        <v>819</v>
      </c>
      <c r="B247" s="614">
        <v>2330</v>
      </c>
      <c r="C247" s="616"/>
      <c r="D247" s="466"/>
      <c r="E247" s="616"/>
      <c r="F247" s="616"/>
      <c r="G247" s="616"/>
      <c r="H247" s="616"/>
      <c r="I247" s="616"/>
      <c r="J247" s="616"/>
      <c r="K247" s="1670">
        <f t="shared" si="21"/>
        <v>0</v>
      </c>
      <c r="L247" s="466">
        <v>0</v>
      </c>
    </row>
    <row r="248" spans="1:12" x14ac:dyDescent="0.2">
      <c r="A248" s="1505" t="s">
        <v>299</v>
      </c>
      <c r="B248" s="602" t="s">
        <v>281</v>
      </c>
      <c r="C248" s="616"/>
      <c r="D248" s="474"/>
      <c r="E248" s="616"/>
      <c r="F248" s="616"/>
      <c r="G248" s="616"/>
      <c r="H248" s="616"/>
      <c r="I248" s="616"/>
      <c r="J248" s="616"/>
      <c r="K248" s="1670">
        <f t="shared" si="21"/>
        <v>0</v>
      </c>
      <c r="L248" s="466">
        <v>0</v>
      </c>
    </row>
    <row r="249" spans="1:12" x14ac:dyDescent="0.2">
      <c r="A249" s="1506" t="s">
        <v>1801</v>
      </c>
      <c r="B249" s="683" t="s">
        <v>282</v>
      </c>
      <c r="C249" s="616"/>
      <c r="D249" s="474"/>
      <c r="E249" s="616"/>
      <c r="F249" s="616"/>
      <c r="G249" s="616"/>
      <c r="H249" s="616"/>
      <c r="I249" s="616"/>
      <c r="J249" s="616"/>
      <c r="K249" s="1670">
        <f t="shared" si="21"/>
        <v>0</v>
      </c>
      <c r="L249" s="466">
        <v>0</v>
      </c>
    </row>
    <row r="250" spans="1:12" x14ac:dyDescent="0.2">
      <c r="A250" s="1505" t="s">
        <v>1802</v>
      </c>
      <c r="B250" s="602" t="s">
        <v>283</v>
      </c>
      <c r="C250" s="616"/>
      <c r="D250" s="474"/>
      <c r="E250" s="616"/>
      <c r="F250" s="616"/>
      <c r="G250" s="616"/>
      <c r="H250" s="616"/>
      <c r="I250" s="616"/>
      <c r="J250" s="616"/>
      <c r="K250" s="1670">
        <f t="shared" si="21"/>
        <v>0</v>
      </c>
      <c r="L250" s="466">
        <v>0</v>
      </c>
    </row>
    <row r="251" spans="1:12" x14ac:dyDescent="0.2">
      <c r="A251" s="1505" t="s">
        <v>238</v>
      </c>
      <c r="B251" s="602" t="s">
        <v>284</v>
      </c>
      <c r="C251" s="616"/>
      <c r="D251" s="474"/>
      <c r="E251" s="616"/>
      <c r="F251" s="616"/>
      <c r="G251" s="616"/>
      <c r="H251" s="616"/>
      <c r="I251" s="616"/>
      <c r="J251" s="616"/>
      <c r="K251" s="1670">
        <f t="shared" si="21"/>
        <v>0</v>
      </c>
      <c r="L251" s="466">
        <v>0</v>
      </c>
    </row>
    <row r="252" spans="1:12" x14ac:dyDescent="0.2">
      <c r="A252" s="1505" t="s">
        <v>702</v>
      </c>
      <c r="B252" s="602" t="s">
        <v>285</v>
      </c>
      <c r="C252" s="616"/>
      <c r="D252" s="474"/>
      <c r="E252" s="616"/>
      <c r="F252" s="616"/>
      <c r="G252" s="616"/>
      <c r="H252" s="616"/>
      <c r="I252" s="616"/>
      <c r="J252" s="616"/>
      <c r="K252" s="1670">
        <f t="shared" si="21"/>
        <v>0</v>
      </c>
      <c r="L252" s="466">
        <v>0</v>
      </c>
    </row>
    <row r="253" spans="1:12" x14ac:dyDescent="0.2">
      <c r="A253" s="1505" t="s">
        <v>239</v>
      </c>
      <c r="B253" s="602" t="s">
        <v>286</v>
      </c>
      <c r="C253" s="616"/>
      <c r="D253" s="474"/>
      <c r="E253" s="616"/>
      <c r="F253" s="616"/>
      <c r="G253" s="616"/>
      <c r="H253" s="616"/>
      <c r="I253" s="616"/>
      <c r="J253" s="616"/>
      <c r="K253" s="1670">
        <f t="shared" si="21"/>
        <v>0</v>
      </c>
      <c r="L253" s="466">
        <v>0</v>
      </c>
    </row>
    <row r="254" spans="1:12" ht="22.5" x14ac:dyDescent="0.2">
      <c r="A254" s="1505" t="s">
        <v>1029</v>
      </c>
      <c r="B254" s="683" t="s">
        <v>287</v>
      </c>
      <c r="C254" s="616"/>
      <c r="D254" s="474"/>
      <c r="E254" s="616"/>
      <c r="F254" s="616"/>
      <c r="G254" s="616"/>
      <c r="H254" s="616"/>
      <c r="I254" s="616"/>
      <c r="J254" s="616"/>
      <c r="K254" s="1670">
        <f t="shared" si="21"/>
        <v>0</v>
      </c>
      <c r="L254" s="466">
        <v>0</v>
      </c>
    </row>
    <row r="255" spans="1:12" x14ac:dyDescent="0.2">
      <c r="A255" s="1505" t="s">
        <v>1030</v>
      </c>
      <c r="B255" s="602" t="s">
        <v>288</v>
      </c>
      <c r="C255" s="616"/>
      <c r="D255" s="474"/>
      <c r="E255" s="616"/>
      <c r="F255" s="616"/>
      <c r="G255" s="616"/>
      <c r="H255" s="616"/>
      <c r="I255" s="616"/>
      <c r="J255" s="616"/>
      <c r="K255" s="1670">
        <f t="shared" si="21"/>
        <v>0</v>
      </c>
      <c r="L255" s="466">
        <v>0</v>
      </c>
    </row>
    <row r="256" spans="1:12" x14ac:dyDescent="0.2">
      <c r="A256" s="1505"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0</v>
      </c>
      <c r="E257" s="616"/>
      <c r="F257" s="616"/>
      <c r="G257" s="616"/>
      <c r="H257" s="616"/>
      <c r="I257" s="616"/>
      <c r="J257" s="616"/>
      <c r="K257" s="1668">
        <f>SUM(K245:K256)</f>
        <v>0</v>
      </c>
      <c r="L257" s="1668">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0">
        <f>D259</f>
        <v>0</v>
      </c>
      <c r="L259" s="481">
        <v>0</v>
      </c>
    </row>
    <row r="260" spans="1:14" s="597" customFormat="1" x14ac:dyDescent="0.2">
      <c r="A260" s="1522" t="s">
        <v>1800</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0</v>
      </c>
      <c r="E261" s="616"/>
      <c r="F261" s="616"/>
      <c r="G261" s="616"/>
      <c r="H261" s="616"/>
      <c r="I261" s="616"/>
      <c r="J261" s="616"/>
      <c r="K261" s="1668">
        <f>SUM(K259:K260)</f>
        <v>0</v>
      </c>
      <c r="L261" s="1668">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v>0</v>
      </c>
    </row>
    <row r="264" spans="1:14" x14ac:dyDescent="0.2">
      <c r="A264" s="1504" t="s">
        <v>463</v>
      </c>
      <c r="B264" s="685">
        <v>2520</v>
      </c>
      <c r="C264" s="616"/>
      <c r="D264" s="466"/>
      <c r="E264" s="616"/>
      <c r="F264" s="616"/>
      <c r="G264" s="616"/>
      <c r="H264" s="616"/>
      <c r="I264" s="616"/>
      <c r="J264" s="616"/>
      <c r="K264" s="1670">
        <f t="shared" ref="K264:K269" si="22">D264</f>
        <v>0</v>
      </c>
      <c r="L264" s="466">
        <v>0</v>
      </c>
    </row>
    <row r="265" spans="1:14" x14ac:dyDescent="0.2">
      <c r="A265" s="1504" t="s">
        <v>4</v>
      </c>
      <c r="B265" s="614">
        <v>2530</v>
      </c>
      <c r="C265" s="616"/>
      <c r="D265" s="466"/>
      <c r="E265" s="616"/>
      <c r="F265" s="616"/>
      <c r="G265" s="616"/>
      <c r="H265" s="616"/>
      <c r="I265" s="616"/>
      <c r="J265" s="616"/>
      <c r="K265" s="1670">
        <f t="shared" si="22"/>
        <v>0</v>
      </c>
      <c r="L265" s="466">
        <v>0</v>
      </c>
    </row>
    <row r="266" spans="1:14" x14ac:dyDescent="0.2">
      <c r="A266" s="1504" t="s">
        <v>197</v>
      </c>
      <c r="B266" s="614">
        <v>2540</v>
      </c>
      <c r="C266" s="616"/>
      <c r="D266" s="466"/>
      <c r="E266" s="616"/>
      <c r="F266" s="616"/>
      <c r="G266" s="616"/>
      <c r="H266" s="616"/>
      <c r="I266" s="616"/>
      <c r="J266" s="616"/>
      <c r="K266" s="1670">
        <f t="shared" si="22"/>
        <v>0</v>
      </c>
      <c r="L266" s="466">
        <v>0</v>
      </c>
    </row>
    <row r="267" spans="1:14" x14ac:dyDescent="0.2">
      <c r="A267" s="1504" t="s">
        <v>953</v>
      </c>
      <c r="B267" s="614">
        <v>2550</v>
      </c>
      <c r="C267" s="616"/>
      <c r="D267" s="466"/>
      <c r="E267" s="616"/>
      <c r="F267" s="616"/>
      <c r="G267" s="616"/>
      <c r="H267" s="616"/>
      <c r="I267" s="616"/>
      <c r="J267" s="616"/>
      <c r="K267" s="1670">
        <f t="shared" si="22"/>
        <v>0</v>
      </c>
      <c r="L267" s="466">
        <v>0</v>
      </c>
    </row>
    <row r="268" spans="1:14" x14ac:dyDescent="0.2">
      <c r="A268" s="1504" t="s">
        <v>100</v>
      </c>
      <c r="B268" s="614">
        <v>2560</v>
      </c>
      <c r="C268" s="616"/>
      <c r="D268" s="466"/>
      <c r="E268" s="616"/>
      <c r="F268" s="616"/>
      <c r="G268" s="616"/>
      <c r="H268" s="616"/>
      <c r="I268" s="616"/>
      <c r="J268" s="616"/>
      <c r="K268" s="1670">
        <f t="shared" si="22"/>
        <v>0</v>
      </c>
      <c r="L268" s="466">
        <v>0</v>
      </c>
    </row>
    <row r="269" spans="1:14" x14ac:dyDescent="0.2">
      <c r="A269" s="1504"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0</v>
      </c>
      <c r="E270" s="616"/>
      <c r="F270" s="616"/>
      <c r="G270" s="616"/>
      <c r="H270" s="616"/>
      <c r="I270" s="616"/>
      <c r="J270" s="616"/>
      <c r="K270" s="1668">
        <f>SUM(K263:K269)</f>
        <v>0</v>
      </c>
      <c r="L270" s="1668">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v>0</v>
      </c>
    </row>
    <row r="273" spans="1:12" x14ac:dyDescent="0.2">
      <c r="A273" s="1504" t="s">
        <v>607</v>
      </c>
      <c r="B273" s="628">
        <v>2620</v>
      </c>
      <c r="C273" s="616"/>
      <c r="D273" s="466"/>
      <c r="E273" s="616"/>
      <c r="F273" s="616"/>
      <c r="G273" s="616"/>
      <c r="H273" s="616"/>
      <c r="I273" s="616"/>
      <c r="J273" s="616"/>
      <c r="K273" s="1670">
        <f>D273</f>
        <v>0</v>
      </c>
      <c r="L273" s="466">
        <v>0</v>
      </c>
    </row>
    <row r="274" spans="1:12" ht="12" customHeight="1" x14ac:dyDescent="0.2">
      <c r="A274" s="1504" t="s">
        <v>1061</v>
      </c>
      <c r="B274" s="614">
        <v>2630</v>
      </c>
      <c r="C274" s="616"/>
      <c r="D274" s="466"/>
      <c r="E274" s="616"/>
      <c r="F274" s="616"/>
      <c r="G274" s="616"/>
      <c r="H274" s="616"/>
      <c r="I274" s="616"/>
      <c r="J274" s="616"/>
      <c r="K274" s="1670">
        <f>D274</f>
        <v>0</v>
      </c>
      <c r="L274" s="466">
        <v>0</v>
      </c>
    </row>
    <row r="275" spans="1:12" x14ac:dyDescent="0.2">
      <c r="A275" s="1504" t="s">
        <v>403</v>
      </c>
      <c r="B275" s="614">
        <v>2640</v>
      </c>
      <c r="C275" s="616"/>
      <c r="D275" s="466"/>
      <c r="E275" s="616"/>
      <c r="F275" s="616"/>
      <c r="G275" s="616"/>
      <c r="H275" s="616"/>
      <c r="I275" s="616"/>
      <c r="J275" s="616"/>
      <c r="K275" s="1670">
        <f>D275</f>
        <v>0</v>
      </c>
      <c r="L275" s="466">
        <v>0</v>
      </c>
    </row>
    <row r="276" spans="1:12" x14ac:dyDescent="0.2">
      <c r="A276" s="1504" t="s">
        <v>404</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v>0</v>
      </c>
    </row>
    <row r="279" spans="1:12" ht="12.75" customHeight="1" thickBot="1" x14ac:dyDescent="0.25">
      <c r="A279" s="1696" t="s">
        <v>811</v>
      </c>
      <c r="B279" s="1679">
        <v>2000</v>
      </c>
      <c r="C279" s="616"/>
      <c r="D279" s="1675">
        <f>SUM(D238,D243,D257,D261,D270,D277,D278)</f>
        <v>0</v>
      </c>
      <c r="E279" s="616"/>
      <c r="F279" s="616"/>
      <c r="G279" s="616"/>
      <c r="H279" s="616"/>
      <c r="I279" s="616"/>
      <c r="J279" s="616"/>
      <c r="K279" s="1675">
        <f>SUM(K238,K243,K257,K261,K270,K277,K278)</f>
        <v>0</v>
      </c>
      <c r="L279" s="1675">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7">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1840</v>
      </c>
      <c r="C282" s="616"/>
      <c r="D282" s="467"/>
      <c r="E282" s="616"/>
      <c r="F282" s="616"/>
      <c r="G282" s="616"/>
      <c r="H282" s="616"/>
      <c r="I282" s="616"/>
      <c r="J282" s="616"/>
      <c r="K282" s="1669">
        <f>D282</f>
        <v>0</v>
      </c>
      <c r="L282" s="467">
        <v>0</v>
      </c>
    </row>
    <row r="283" spans="1:12" x14ac:dyDescent="0.2">
      <c r="A283" s="1504" t="s">
        <v>304</v>
      </c>
      <c r="B283" s="614">
        <v>4120</v>
      </c>
      <c r="C283" s="616"/>
      <c r="D283" s="466"/>
      <c r="E283" s="616"/>
      <c r="F283" s="616"/>
      <c r="G283" s="616"/>
      <c r="H283" s="616"/>
      <c r="I283" s="616"/>
      <c r="J283" s="616"/>
      <c r="K283" s="1669">
        <f>D283</f>
        <v>0</v>
      </c>
      <c r="L283" s="466">
        <v>0</v>
      </c>
    </row>
    <row r="284" spans="1:12" x14ac:dyDescent="0.2">
      <c r="A284" s="1504"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v>0</v>
      </c>
    </row>
    <row r="289" spans="1:14" x14ac:dyDescent="0.2">
      <c r="A289" s="1504" t="s">
        <v>88</v>
      </c>
      <c r="B289" s="614">
        <v>5120</v>
      </c>
      <c r="C289" s="616"/>
      <c r="D289" s="616"/>
      <c r="E289" s="616"/>
      <c r="F289" s="616"/>
      <c r="G289" s="616"/>
      <c r="H289" s="466"/>
      <c r="I289" s="616"/>
      <c r="J289" s="616"/>
      <c r="K289" s="1669">
        <f>H289</f>
        <v>0</v>
      </c>
      <c r="L289" s="466">
        <v>0</v>
      </c>
    </row>
    <row r="290" spans="1:14" ht="12.75" customHeight="1" x14ac:dyDescent="0.2">
      <c r="A290" s="1504" t="s">
        <v>1170</v>
      </c>
      <c r="B290" s="628" t="s">
        <v>617</v>
      </c>
      <c r="C290" s="616"/>
      <c r="D290" s="616"/>
      <c r="E290" s="616"/>
      <c r="F290" s="616"/>
      <c r="G290" s="616"/>
      <c r="H290" s="466"/>
      <c r="I290" s="616"/>
      <c r="J290" s="616"/>
      <c r="K290" s="1669">
        <f>H290</f>
        <v>0</v>
      </c>
      <c r="L290" s="466">
        <v>0</v>
      </c>
    </row>
    <row r="291" spans="1:14" x14ac:dyDescent="0.2">
      <c r="A291" s="1504" t="s">
        <v>89</v>
      </c>
      <c r="B291" s="614" t="s">
        <v>589</v>
      </c>
      <c r="C291" s="616"/>
      <c r="D291" s="616"/>
      <c r="E291" s="616"/>
      <c r="F291" s="616"/>
      <c r="G291" s="616"/>
      <c r="H291" s="466"/>
      <c r="I291" s="616"/>
      <c r="J291" s="616"/>
      <c r="K291" s="1669">
        <f>H291</f>
        <v>0</v>
      </c>
      <c r="L291" s="466">
        <v>0</v>
      </c>
    </row>
    <row r="292" spans="1:14" x14ac:dyDescent="0.2">
      <c r="A292" s="1504"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4" t="s">
        <v>505</v>
      </c>
      <c r="B295" s="2185"/>
      <c r="C295" s="616"/>
      <c r="D295" s="1668">
        <f>SUM(D229,D279,D280,D285)</f>
        <v>0</v>
      </c>
      <c r="E295" s="616"/>
      <c r="F295" s="616"/>
      <c r="G295" s="616"/>
      <c r="H295" s="1668">
        <f>H293</f>
        <v>0</v>
      </c>
      <c r="I295" s="616"/>
      <c r="J295" s="616"/>
      <c r="K295" s="1668">
        <f>SUM(K229,K279,K280,K285,K293,K294)</f>
        <v>0</v>
      </c>
      <c r="L295" s="1668">
        <f>SUM(L229,L279,L280,L285,L293,L294)</f>
        <v>0</v>
      </c>
    </row>
    <row r="296" spans="1:14" ht="13.5" thickTop="1" x14ac:dyDescent="0.2">
      <c r="A296" s="2166" t="s">
        <v>996</v>
      </c>
      <c r="B296" s="2167"/>
      <c r="C296" s="616"/>
      <c r="D296" s="618"/>
      <c r="E296" s="616"/>
      <c r="F296" s="616"/>
      <c r="G296" s="616"/>
      <c r="H296" s="687"/>
      <c r="I296" s="616"/>
      <c r="J296" s="616"/>
      <c r="K296" s="1682">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6" t="s">
        <v>143</v>
      </c>
      <c r="B298" s="217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v>0</v>
      </c>
    </row>
    <row r="302" spans="1:14" ht="13.5" customHeight="1" x14ac:dyDescent="0.2">
      <c r="A302" s="1517"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69">
        <f>SUM(E306,H306)</f>
        <v>0</v>
      </c>
      <c r="L306" s="467">
        <v>0</v>
      </c>
    </row>
    <row r="307" spans="1:14" x14ac:dyDescent="0.2">
      <c r="A307" s="1504" t="s">
        <v>304</v>
      </c>
      <c r="B307" s="614">
        <v>4120</v>
      </c>
      <c r="C307" s="616"/>
      <c r="D307" s="616"/>
      <c r="E307" s="467"/>
      <c r="F307" s="616"/>
      <c r="G307" s="616"/>
      <c r="H307" s="467"/>
      <c r="I307" s="477"/>
      <c r="J307" s="616"/>
      <c r="K307" s="1669">
        <f>SUM(E307,H307)</f>
        <v>0</v>
      </c>
      <c r="L307" s="466">
        <v>0</v>
      </c>
    </row>
    <row r="308" spans="1:14" x14ac:dyDescent="0.2">
      <c r="A308" s="1504" t="s">
        <v>697</v>
      </c>
      <c r="B308" s="614">
        <v>4140</v>
      </c>
      <c r="C308" s="616"/>
      <c r="D308" s="616"/>
      <c r="E308" s="467"/>
      <c r="F308" s="616"/>
      <c r="G308" s="616"/>
      <c r="H308" s="467"/>
      <c r="I308" s="477"/>
      <c r="J308" s="616"/>
      <c r="K308" s="1669">
        <f>SUM(E308,H308)</f>
        <v>0</v>
      </c>
      <c r="L308" s="466">
        <v>0</v>
      </c>
    </row>
    <row r="309" spans="1:14" ht="12.75" customHeight="1" x14ac:dyDescent="0.2">
      <c r="A309" s="1508"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81" t="s">
        <v>277</v>
      </c>
      <c r="B312" s="2182"/>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7" t="s">
        <v>996</v>
      </c>
      <c r="B313" s="2178"/>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0" t="s">
        <v>149</v>
      </c>
      <c r="B315" s="219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2" t="s">
        <v>898</v>
      </c>
      <c r="B317" s="219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3" t="s">
        <v>1801</v>
      </c>
      <c r="B320" s="698" t="s">
        <v>282</v>
      </c>
      <c r="C320" s="467"/>
      <c r="D320" s="467"/>
      <c r="E320" s="467"/>
      <c r="F320" s="467"/>
      <c r="G320" s="467"/>
      <c r="H320" s="467"/>
      <c r="I320" s="467"/>
      <c r="J320" s="467"/>
      <c r="K320" s="1669">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69">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1846</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1840</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1842</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1847</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v>0</v>
      </c>
    </row>
    <row r="338" spans="1:14" ht="12.75" customHeight="1" x14ac:dyDescent="0.2">
      <c r="A338" s="1518" t="s">
        <v>1170</v>
      </c>
      <c r="B338" s="690" t="s">
        <v>617</v>
      </c>
      <c r="C338" s="638"/>
      <c r="D338" s="638"/>
      <c r="E338" s="638"/>
      <c r="F338" s="638"/>
      <c r="G338" s="638"/>
      <c r="H338" s="478"/>
      <c r="I338" s="638"/>
      <c r="J338" s="638"/>
      <c r="K338" s="1669">
        <f>H338</f>
        <v>0</v>
      </c>
      <c r="L338" s="478">
        <v>0</v>
      </c>
    </row>
    <row r="339" spans="1:14" x14ac:dyDescent="0.2">
      <c r="A339" s="1504"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SUM(L330,L334,L340,L341)</f>
        <v>0</v>
      </c>
    </row>
    <row r="343" spans="1:14" ht="12.75" customHeight="1" thickTop="1" x14ac:dyDescent="0.2">
      <c r="A343" s="2179" t="s">
        <v>996</v>
      </c>
      <c r="B343" s="2180"/>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9" t="s">
        <v>966</v>
      </c>
      <c r="B345" s="217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v>0</v>
      </c>
    </row>
    <row r="349" spans="1:14" x14ac:dyDescent="0.2">
      <c r="A349" s="1504" t="s">
        <v>197</v>
      </c>
      <c r="B349" s="614">
        <v>2540</v>
      </c>
      <c r="C349" s="466"/>
      <c r="D349" s="466"/>
      <c r="E349" s="466"/>
      <c r="F349" s="466"/>
      <c r="G349" s="466"/>
      <c r="H349" s="466"/>
      <c r="I349" s="467"/>
      <c r="J349" s="467"/>
      <c r="K349" s="1669">
        <f>SUM(C349:J349)</f>
        <v>0</v>
      </c>
      <c r="L349" s="466">
        <v>0</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1848</v>
      </c>
      <c r="B354" s="683" t="s">
        <v>1840</v>
      </c>
      <c r="C354" s="616"/>
      <c r="D354" s="616"/>
      <c r="E354" s="616"/>
      <c r="F354" s="616"/>
      <c r="G354" s="616"/>
      <c r="H354" s="474"/>
      <c r="I354" s="701"/>
      <c r="J354" s="616"/>
      <c r="K354" s="1697">
        <f>H354</f>
        <v>0</v>
      </c>
      <c r="L354" s="471">
        <v>0</v>
      </c>
    </row>
    <row r="355" spans="1:14" ht="12.75" customHeight="1" x14ac:dyDescent="0.2">
      <c r="A355" s="1513" t="s">
        <v>1849</v>
      </c>
      <c r="B355" s="690" t="s">
        <v>1842</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v>0</v>
      </c>
    </row>
    <row r="361" spans="1:14" ht="12.75" customHeight="1" x14ac:dyDescent="0.2">
      <c r="A361" s="1505"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66" t="s">
        <v>996</v>
      </c>
      <c r="B368" s="2167"/>
      <c r="C368" s="654"/>
      <c r="D368" s="654"/>
      <c r="E368" s="626"/>
      <c r="F368" s="626"/>
      <c r="G368" s="626"/>
      <c r="H368" s="626"/>
      <c r="I368" s="626"/>
      <c r="J368" s="623"/>
      <c r="K368" s="1669">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http://schemas.microsoft.com/sharepoint/v3"/>
    <ds:schemaRef ds:uri="d21dc803-237d-4c68-8692-8d731fd29118"/>
    <ds:schemaRef ds:uri="http://purl.org/dc/elements/1.1/"/>
    <ds:schemaRef ds:uri="http://schemas.microsoft.com/office/2006/documentManagement/typ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SEFA NOTES (2)</vt:lpstr>
      <vt:lpstr>SF&amp;QC Sec-1</vt:lpstr>
      <vt:lpstr>SF&amp;QC Sec-2</vt:lpstr>
      <vt:lpstr>SF&amp;QC Sec-2 (2)</vt:lpstr>
      <vt:lpstr>SF&amp;QC Sec-3</vt:lpstr>
      <vt:lpstr>SSPAF</vt:lpstr>
      <vt:lpstr>' SEFA'!Print_Area</vt:lpstr>
      <vt:lpstr>' SEFA (2)'!Print_Area</vt:lpstr>
      <vt:lpstr>' SEFA (3)'!Print_Area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2019-11-12T21:54:31Z</cp:lastPrinted>
  <dcterms:created xsi:type="dcterms:W3CDTF">2003-10-29T19:06:34Z</dcterms:created>
  <dcterms:modified xsi:type="dcterms:W3CDTF">2019-12-19T21:20:13Z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