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FB8C4027-F861-4AD2-A08A-EA76D4854562}"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G20" i="181" s="1"/>
  <c r="E19" i="181"/>
  <c r="G19" i="181" l="1"/>
  <c r="D37" i="181"/>
  <c r="D80" i="36" l="1"/>
  <c r="B7797" i="106"/>
  <c r="E37" i="181"/>
  <c r="E18" i="18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5" i="11" l="1"/>
  <c r="B2056" i="106" s="1"/>
  <c r="D2056" i="106" s="1"/>
  <c r="F36" i="34"/>
  <c r="J352" i="29"/>
  <c r="J367" i="29" s="1"/>
  <c r="B7245" i="106" s="1"/>
  <c r="D7245" i="106" s="1"/>
  <c r="J41" i="3"/>
  <c r="D6103" i="106"/>
  <c r="B3647" i="106"/>
  <c r="D3647" i="106" s="1"/>
  <c r="K76" i="4"/>
  <c r="B3586" i="106" s="1"/>
  <c r="D3586" i="106" s="1"/>
  <c r="E29" i="108"/>
  <c r="G210" i="29"/>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B1365" i="106" l="1"/>
  <c r="D1365" i="106" s="1"/>
  <c r="F65" i="34"/>
  <c r="L114" i="29"/>
  <c r="C114" i="29"/>
  <c r="B757" i="106" s="1"/>
  <c r="D757" i="106" s="1"/>
  <c r="L16" i="11"/>
  <c r="B2061" i="106" s="1"/>
  <c r="D2061" i="106" s="1"/>
  <c r="B2031" i="106"/>
  <c r="D2031"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<sst xmlns="http://schemas.openxmlformats.org/spreadsheetml/2006/main" count="5095" uniqueCount="2100">
  <si>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</si>
  <si>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</si>
  <si>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</si>
  <si>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</si>
  <si>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</si>
  <si>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</si>
  <si>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</si>
  <si>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</si>
  <si>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</si>
  <si>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</si>
  <si>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</si>
  <si>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</si>
  <si>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</si>
  <si>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</si>
  <si>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</si>
  <si>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</si>
  <si>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</si>
  <si>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</si>
  <si>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</si>
  <si>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</si>
  <si>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</si>
  <si>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</si>
  <si>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</si>
  <si>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</si>
  <si>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</si>
  <si>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</si>
  <si>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</si>
  <si>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</si>
  <si>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</si>
  <si>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</si>
  <si>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</si>
  <si>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</si>
  <si>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</si>
  <si>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</si>
  <si>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</si>
  <si>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</si>
  <si>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</si>
  <si>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</si>
  <si>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</si>
  <si>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</si>
  <si>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</si>
  <si>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</si>
  <si>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</si>
  <si>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</si>
  <si>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</si>
  <si>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</si>
  <si>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</si>
  <si>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</si>
  <si>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</si>
  <si>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</si>
  <si>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</si>
  <si>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</si>
  <si>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</si>
  <si>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</si>
  <si>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</si>
  <si>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</si>
  <si>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</si>
  <si>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</si>
  <si>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</si>
  <si>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</si>
  <si>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</si>
  <si>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</si>
  <si>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</si>
  <si>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</si>
  <si>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</si>
  <si>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</si>
  <si>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</si>
  <si>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</si>
  <si>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</si>
  <si>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</si>
  <si>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</si>
  <si>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</si>
  <si>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</si>
  <si>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</si>
  <si>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</si>
  <si>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</si>
  <si>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</si>
  <si>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</si>
  <si>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</si>
  <si>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</si>
  <si>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</si>
  <si>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</si>
  <si>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</si>
  <si>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</si>
  <si>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</si>
  <si>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</si>
  <si>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</si>
  <si>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</si>
  <si>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</si>
  <si>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</si>
  <si>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</si>
  <si>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</si>
  <si>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</si>
  <si>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</si>
  <si>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</si>
  <si>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</si>
  <si>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</si>
  <si>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</si>
  <si>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</si>
  <si>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</si>
  <si>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</si>
  <si>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</si>
  <si>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</si>
  <si>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</si>
  <si>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</si>
  <si>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</si>
  <si>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</si>
  <si>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</si>
  <si>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</si>
  <si>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</si>
  <si>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</si>
  <si>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</si>
  <si>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</si>
  <si>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</si>
  <si>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</si>
  <si>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</si>
  <si>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</si>
  <si>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</si>
  <si>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</si>
  <si>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</si>
  <si>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</si>
  <si>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</si>
  <si>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</si>
  <si>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</si>
  <si>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</si>
  <si>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</si>
  <si>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</si>
  <si>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</si>
  <si>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</si>
  <si>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</si>
  <si>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</si>
  <si>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</si>
  <si>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</si>
  <si>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</si>
  <si>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</si>
  <si>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</si>
  <si>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</si>
  <si>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</si>
  <si>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</si>
  <si>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</si>
  <si>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</si>
  <si>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</si>
  <si>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</si>
  <si>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</si>
  <si>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</si>
  <si>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</si>
  <si>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</si>
  <si>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</si>
  <si>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</si>
  <si>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</si>
  <si>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</si>
  <si>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</si>
  <si>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</si>
  <si>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</si>
  <si>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</si>
  <si>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</si>
  <si>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</si>
  <si>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</si>
  <si>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</si>
  <si>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</si>
  <si>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</si>
  <si>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</si>
  <si>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</si>
  <si>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</si>
  <si>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</si>
  <si>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</si>
  <si>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</si>
  <si>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</si>
  <si>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</si>
  <si>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</si>
  <si>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</si>
  <si>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</si>
  <si>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</si>
  <si>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</si>
  <si>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</si>
  <si>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</si>
  <si>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</si>
  <si>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</si>
  <si>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</si>
  <si>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</si>
  <si>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</si>
  <si>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</si>
  <si>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</si>
  <si>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</si>
  <si>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</si>
  <si>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</si>
  <si>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</si>
  <si>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</si>
  <si>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</si>
  <si>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</si>
  <si>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</si>
  <si>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</si>
  <si>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</si>
  <si>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</si>
  <si>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</si>
  <si>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</si>
  <si>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</si>
  <si>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</si>
  <si>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</si>
  <si>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</si>
  <si>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</si>
  <si>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</si>
  <si>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</si>
  <si>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</si>
  <si>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</si>
  <si>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</si>
  <si>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</si>
  <si>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</si>
  <si>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</si>
  <si>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</si>
  <si>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</si>
  <si>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</si>
  <si>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</si>
  <si>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</si>
  <si>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</si>
  <si>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</si>
  <si>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</si>
  <si>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</si>
  <si>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</si>
  <si>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</si>
  <si>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</si>
  <si>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</si>
  <si>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</si>
  <si>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</si>
  <si>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</si>
  <si>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</si>
  <si>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</si>
  <si>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</si>
  <si>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</si>
  <si>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</si>
  <si>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</si>
  <si>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</si>
  <si>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</si>
  <si>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</si>
  <si>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</si>
  <si>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</si>
  <si>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</si>
  <si>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</si>
  <si>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</si>
  <si>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</si>
  <si>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</si>
  <si>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</si>
  <si>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</si>
  <si>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</si>
  <si>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</si>
  <si>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</si>
  <si>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</si>
  <si>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</si>
  <si>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</si>
  <si>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</si>
  <si>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</si>
  <si>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</si>
  <si>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</si>
  <si>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</si>
  <si>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</si>
  <si>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</si>
  <si>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</si>
  <si>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</si>
  <si>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</si>
  <si>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</si>
  <si>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</si>
  <si>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</si>
  <si>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</si>
  <si>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</si>
  <si>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</si>
  <si>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</si>
  <si>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</si>
  <si>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</si>
  <si>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</si>
  <si>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</si>
  <si>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</si>
  <si>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</si>
  <si>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</si>
  <si>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</si>
  <si>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</si>
  <si>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</si>
  <si>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</si>
  <si>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</si>
  <si>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</si>
  <si>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</si>
  <si>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</si>
  <si>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</si>
  <si>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</si>
  <si>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</si>
  <si>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</si>
  <si>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</si>
  <si>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</si>
  <si>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</si>
  <si>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</si>
  <si>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</si>
  <si>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</si>
  <si>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</si>
  <si>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</si>
  <si>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</si>
  <si>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</si>
  <si>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</si>
  <si>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</si>
  <si>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</si>
  <si>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</si>
  <si>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</si>
  <si>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</si>
  <si>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</si>
  <si>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</si>
  <si>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</si>
  <si>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</si>
  <si>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</si>
  <si>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</si>
  <si>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</si>
  <si>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</si>
  <si>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</si>
  <si>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</si>
  <si>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</si>
  <si>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</si>
  <si>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</si>
  <si>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</si>
  <si>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</si>
  <si>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</si>
  <si>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</si>
  <si>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</si>
  <si>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</si>
  <si>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</si>
  <si>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</si>
  <si>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</si>
  <si>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</si>
  <si>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</si>
  <si>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</si>
  <si>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</si>
  <si>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</si>
  <si>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</si>
  <si>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</si>
  <si>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</si>
  <si>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</si>
  <si>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</si>
  <si>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</si>
  <si>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</si>
  <si>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</si>
  <si>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</si>
  <si>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</si>
  <si>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</si>
  <si>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</si>
  <si>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</si>
  <si>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</si>
  <si>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</si>
  <si>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</si>
  <si>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</si>
  <si>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</si>
  <si>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</si>
  <si>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</si>
  <si>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</si>
  <si>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</si>
  <si>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</si>
  <si>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</si>
  <si>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</si>
  <si>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</si>
  <si>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</si>
  <si>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</si>
  <si>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</si>
  <si>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</si>
  <si>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</si>
  <si>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</si>
  <si>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</si>
  <si>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</si>
  <si>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</si>
  <si>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</si>
  <si>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</si>
  <si>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</si>
  <si>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</si>
  <si>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</si>
  <si>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</si>
  <si>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</si>
  <si>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</si>
  <si>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</si>
  <si>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</si>
  <si>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</si>
  <si>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</si>
  <si>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</si>
  <si>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</si>
  <si>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</si>
  <si>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</si>
  <si>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</si>
  <si>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</si>
  <si>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</si>
  <si>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</si>
  <si>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</si>
  <si>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</si>
  <si>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</si>
  <si>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</si>
  <si>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</si>
  <si>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</si>
  <si>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</si>
  <si>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</si>
  <si>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</si>
  <si>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</si>
  <si>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</si>
  <si>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</si>
  <si>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</si>
  <si>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</si>
  <si>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</si>
  <si>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</si>
  <si>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</si>
  <si>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</si>
  <si>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</si>
  <si>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</si>
  <si>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</si>
  <si>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</si>
  <si>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</si>
  <si>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</si>
  <si>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</si>
  <si>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</si>
  <si>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</si>
  <si>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</si>
  <si>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</si>
  <si>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</si>
  <si>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</si>
  <si>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</si>
  <si>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</si>
  <si>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</si>
  <si>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</si>
  <si>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</si>
  <si>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</si>
  <si>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</si>
  <si>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</si>
  <si>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</si>
  <si>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</si>
  <si>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</si>
  <si>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</si>
  <si>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</si>
  <si>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</si>
  <si>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</si>
  <si>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</si>
  <si>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</si>
  <si>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</si>
  <si>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</si>
  <si>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</si>
  <si>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</si>
  <si>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</si>
  <si>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</si>
  <si>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</si>
  <si>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</si>
  <si>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</si>
  <si>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</si>
  <si>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</si>
  <si>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</si>
  <si>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</si>
  <si>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</si>
  <si>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</si>
  <si>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</si>
  <si>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</si>
  <si>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</si>
  <si>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</si>
  <si>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</si>
  <si>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</si>
  <si>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</si>
  <si>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</si>
  <si>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</si>
  <si>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</si>
  <si>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</si>
  <si>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</si>
  <si>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</si>
  <si>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</si>
  <si>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</si>
  <si>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</si>
  <si>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</si>
  <si>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</si>
  <si>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</si>
  <si>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</si>
  <si>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</si>
  <si>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</si>
  <si>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</si>
  <si>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</si>
  <si>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</si>
  <si>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</si>
  <si>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</si>
  <si>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</si>
  <si>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</si>
  <si>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</si>
  <si>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</si>
  <si>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</si>
  <si>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</si>
  <si>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</si>
  <si>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</si>
  <si>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</si>
  <si>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</si>
  <si>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</si>
  <si>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</si>
  <si>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</si>
  <si>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</si>
  <si>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</si>
  <si>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</si>
  <si>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</si>
  <si>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</si>
  <si>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</si>
  <si>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</si>
  <si>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</si>
  <si>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</si>
  <si>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</si>
  <si>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</si>
  <si>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</si>
  <si>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</si>
  <si>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</si>
  <si>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</si>
  <si>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</si>
  <si>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</si>
  <si>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</si>
  <si>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</si>
  <si>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</si>
  <si>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</si>
  <si>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</si>
  <si>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</si>
  <si>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</si>
  <si>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</si>
  <si>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</si>
  <si>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</si>
  <si>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</si>
  <si>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</si>
  <si>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</si>
  <si>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</si>
  <si>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</si>
  <si>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</si>
  <si>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</si>
  <si>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</si>
  <si>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</si>
  <si>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</si>
  <si>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</si>
  <si>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</si>
  <si>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</si>
  <si>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</si>
  <si>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</si>
  <si>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</si>
  <si>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</si>
  <si>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</si>
  <si>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</si>
  <si>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</si>
  <si>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</si>
  <si>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</si>
  <si>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</si>
  <si>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</si>
  <si>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</si>
  <si>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</si>
  <si>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</si>
  <si>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</si>
  <si>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</si>
  <si>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</si>
  <si>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</si>
  <si>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</si>
  <si>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</si>
  <si>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</si>
  <si>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</si>
  <si>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</si>
  <si>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</si>
  <si>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</si>
  <si>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</si>
  <si>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</si>
  <si>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</si>
  <si>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</si>
  <si>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</si>
  <si>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</si>
  <si>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</si>
  <si>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</si>
  <si>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</si>
  <si>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</si>
  <si>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</si>
  <si>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</si>
  <si>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</si>
  <si>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</si>
  <si>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</si>
  <si>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</si>
  <si>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</si>
  <si>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</si>
  <si>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</si>
  <si>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</si>
  <si>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</si>
  <si>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</si>
  <si>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</si>
  <si>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</si>
  <si>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</si>
  <si>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</si>
  <si>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</si>
  <si>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</si>
  <si>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</si>
  <si>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</si>
  <si>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</si>
  <si>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</si>
  <si>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</si>
  <si>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</si>
  <si>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</si>
  <si>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</si>
  <si>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</si>
  <si>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</si>
  <si>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</si>
  <si>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</si>
  <si>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</si>
  <si>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</si>
  <si>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</si>
  <si>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</si>
  <si>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</si>
  <si>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</si>
  <si>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</si>
  <si>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</si>
  <si>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</si>
  <si>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</si>
  <si>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</si>
  <si>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</si>
  <si>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</si>
  <si>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</si>
  <si>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</si>
  <si>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</si>
  <si>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</si>
  <si>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</si>
  <si>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</si>
  <si>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</si>
  <si>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</si>
  <si>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</si>
  <si>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</si>
  <si>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</si>
  <si>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</si>
  <si>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</si>
  <si>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</si>
  <si>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</si>
  <si>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</si>
  <si>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</si>
  <si>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</si>
  <si>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</si>
  <si>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</si>
  <si>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</si>
  <si>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</si>
  <si>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</si>
  <si>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</si>
  <si>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</si>
  <si>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</si>
  <si>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</si>
  <si>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</si>
  <si>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</si>
  <si>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</si>
  <si>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</si>
  <si>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</si>
  <si>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</si>
  <si>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</si>
  <si>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</si>
  <si>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</si>
  <si>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</si>
  <si>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</si>
  <si>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</si>
  <si>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</si>
  <si>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</si>
  <si>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</si>
  <si>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</si>
  <si>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</si>
  <si>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</si>
  <si>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</si>
  <si>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</si>
  <si>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</si>
  <si>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</si>
  <si>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</si>
  <si>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</si>
  <si>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</si>
  <si>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</si>
  <si>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</si>
  <si>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</si>
  <si>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</si>
  <si>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</si>
  <si>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</si>
  <si>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</si>
  <si>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</si>
  <si>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</si>
  <si>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</si>
  <si>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</si>
  <si>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</si>
  <si>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</si>
  <si>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</si>
  <si>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</si>
  <si>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</si>
  <si>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</si>
  <si>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</si>
  <si>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</si>
  <si>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</si>
  <si>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</si>
  <si>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</si>
  <si>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</si>
  <si>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</si>
  <si>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</si>
  <si>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</si>
  <si>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</si>
  <si>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</si>
  <si>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</si>
  <si>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</si>
  <si>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</si>
  <si>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</si>
  <si>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</si>
  <si>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</si>
  <si>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</si>
  <si>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</si>
  <si>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</si>
  <si>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</si>
  <si>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</si>
  <si>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</si>
  <si>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</si>
  <si>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</si>
  <si>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</si>
  <si>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</si>
  <si>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</si>
  <si>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</si>
  <si>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</si>
  <si>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</si>
  <si>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</si>
  <si>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</si>
  <si>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</si>
  <si>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</si>
  <si>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</si>
  <si>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</si>
  <si>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</si>
  <si>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</si>
  <si>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</si>
  <si>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</si>
  <si>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</si>
  <si>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</si>
  <si>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</si>
  <si>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</si>
  <si>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</si>
  <si>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</si>
  <si>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</si>
  <si>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</si>
  <si>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</si>
  <si>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</si>
  <si>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</si>
  <si>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</si>
  <si>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</si>
  <si>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</si>
  <si>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</si>
  <si>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</si>
  <si>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</si>
  <si>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</si>
  <si>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</si>
  <si>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</si>
  <si>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</si>
  <si>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</si>
  <si>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</si>
  <si>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</si>
  <si>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</si>
  <si>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</si>
  <si>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</si>
  <si>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</si>
  <si>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</si>
  <si>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</si>
  <si>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</si>
  <si>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</si>
  <si>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</si>
  <si>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</si>
  <si>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</si>
  <si>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</si>
  <si>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</si>
  <si>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</si>
  <si>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</si>
  <si>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</si>
  <si>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</si>
  <si>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</si>
  <si>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</si>
  <si>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</si>
  <si>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</si>
  <si>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</si>
  <si>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</si>
  <si>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</si>
  <si>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</si>
  <si>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</si>
  <si>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</si>
  <si>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</si>
  <si>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</si>
  <si>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</si>
  <si>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</si>
  <si>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</si>
  <si>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</si>
  <si>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</si>
  <si>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</si>
  <si>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</si>
  <si>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</si>
  <si>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</si>
  <si>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</si>
  <si>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</si>
  <si>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</si>
  <si>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</si>
  <si>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</si>
  <si>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</si>
  <si>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</si>
  <si>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</si>
  <si>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</si>
  <si>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</si>
  <si>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</si>
  <si>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</si>
  <si>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</si>
  <si>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</si>
  <si>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</si>
  <si>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</si>
  <si>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</si>
  <si>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</si>
  <si>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</si>
  <si>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</si>
  <si>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</si>
  <si>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</si>
  <si>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</si>
  <si>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</si>
  <si>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</si>
  <si>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</si>
  <si>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</si>
  <si>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</si>
  <si>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</si>
  <si>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</si>
  <si>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</si>
  <si>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</si>
  <si>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</si>
  <si>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</si>
  <si>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</si>
  <si>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</si>
  <si>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</si>
  <si>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</si>
  <si>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</si>
  <si>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</si>
  <si>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</si>
  <si>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</si>
  <si>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</si>
  <si>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</si>
  <si>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</si>
  <si>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</si>
  <si>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</si>
  <si>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</si>
  <si>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</si>
  <si>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</si>
  <si>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</si>
  <si>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</si>
  <si>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</si>
  <si>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</si>
  <si>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</si>
  <si>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</si>
  <si>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</si>
  <si>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</si>
  <si>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</si>
  <si>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</si>
  <si>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</si>
  <si>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</si>
  <si>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</si>
  <si>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</si>
  <si>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</si>
  <si>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</si>
  <si>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</si>
  <si>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</si>
  <si>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</si>
  <si>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</si>
  <si>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</si>
  <si>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</si>
  <si>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</si>
  <si>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</si>
  <si>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</si>
  <si>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</si>
  <si>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</si>
  <si>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</si>
  <si>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</si>
  <si>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</si>
  <si>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</si>
  <si>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</si>
  <si>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</si>
  <si>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</si>
  <si>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</si>
  <si>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</si>
  <si>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</si>
  <si>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</si>
  <si>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</si>
  <si>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</si>
  <si>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</si>
  <si>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</si>
  <si>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</si>
  <si>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</si>
  <si>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</si>
  <si>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</si>
  <si>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</si>
  <si>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</si>
  <si>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</si>
  <si>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</si>
  <si>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</si>
  <si>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</si>
  <si>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</si>
  <si>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</si>
  <si>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</si>
  <si>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</si>
  <si>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</si>
  <si>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</si>
  <si>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</si>
  <si>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</si>
  <si>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</si>
  <si>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</si>
  <si>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</si>
  <si>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</si>
  <si>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</si>
  <si>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</si>
  <si>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</si>
  <si>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</si>
  <si>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</si>
  <si>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</si>
  <si>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</si>
  <si>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</si>
  <si>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</si>
  <si>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</si>
  <si>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</si>
  <si>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</si>
  <si>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</si>
  <si>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</si>
  <si>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</si>
  <si>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</si>
  <si>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</si>
  <si>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</si>
  <si>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</si>
  <si>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</si>
  <si>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</si>
  <si>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</si>
  <si>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</si>
  <si>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</si>
  <si>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</si>
  <si>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</si>
  <si>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</si>
  <si>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</si>
  <si>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</si>
  <si>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</si>
  <si>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</si>
  <si>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</si>
  <si>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</si>
  <si>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</si>
  <si>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</si>
  <si>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</si>
  <si>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</si>
  <si>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</si>
  <si>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</si>
  <si>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</si>
  <si>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</si>
  <si>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</si>
  <si>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</si>
  <si>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</si>
  <si>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</si>
  <si>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</si>
  <si>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</si>
  <si>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</si>
  <si>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</si>
  <si>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</si>
  <si>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</si>
  <si>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</si>
  <si>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</si>
  <si>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</si>
  <si>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</si>
  <si>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</si>
  <si>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</si>
  <si>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</si>
  <si>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</si>
  <si>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</si>
  <si>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</si>
  <si>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</si>
  <si>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</si>
  <si>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</si>
  <si>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</si>
  <si>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</si>
  <si>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</si>
  <si>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</si>
  <si>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</si>
  <si>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</si>
  <si>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</si>
  <si>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</si>
  <si>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</si>
  <si>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</si>
  <si>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</si>
  <si>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</si>
  <si>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</si>
  <si>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</si>
  <si>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</si>
  <si>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</si>
  <si>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</si>
  <si>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</si>
  <si>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</si>
  <si>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</si>
  <si>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</si>
  <si>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</si>
  <si>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</si>
  <si>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</si>
  <si>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</si>
  <si>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</si>
  <si>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</si>
  <si>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</si>
  <si>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</si>
  <si>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</si>
  <si>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</si>
  <si>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</si>
  <si>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</si>
  <si>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</si>
  <si>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</si>
  <si>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</si>
  <si>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</si>
  <si>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</si>
  <si>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</si>
  <si>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</si>
  <si>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</si>
  <si>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</si>
  <si>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</si>
  <si>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</si>
  <si>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</si>
  <si>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</si>
  <si>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</si>
  <si>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</si>
  <si>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</si>
  <si>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</si>
  <si>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</si>
  <si>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</si>
  <si>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</si>
  <si>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</si>
  <si>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</si>
  <si>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</si>
  <si>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</si>
  <si>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</si>
  <si>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</si>
  <si>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</si>
  <si>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</si>
  <si>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</si>
  <si>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</si>
  <si>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</si>
  <si>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</si>
  <si>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</si>
  <si>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</si>
  <si>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</si>
  <si>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</si>
  <si>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</si>
  <si>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</si>
  <si>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</si>
  <si>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</si>
  <si>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</si>
  <si>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</si>
  <si>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</si>
  <si>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</si>
  <si>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</si>
  <si>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</si>
  <si>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</si>
  <si>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</si>
  <si>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</si>
  <si>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</si>
  <si>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</si>
  <si>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</si>
  <si>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</si>
  <si>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</si>
  <si>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</si>
  <si>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</si>
  <si>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</si>
  <si>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</si>
  <si>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</si>
  <si>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</si>
  <si>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</si>
  <si>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</si>
  <si>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</si>
  <si>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</si>
  <si>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</si>
  <si>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</si>
  <si>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</si>
  <si>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</si>
  <si>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</si>
  <si>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</si>
  <si>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</si>
  <si>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</si>
  <si>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</si>
  <si>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</si>
  <si>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</si>
  <si>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</si>
  <si>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</si>
  <si>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</si>
  <si>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</si>
  <si>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</si>
  <si>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</si>
  <si>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</si>
  <si>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</si>
  <si>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</si>
  <si>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</si>
  <si>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</si>
  <si>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</si>
  <si>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</si>
  <si>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</si>
  <si>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</si>
  <si>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</si>
  <si>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</si>
  <si>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</si>
  <si>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</si>
  <si>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</si>
  <si>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</si>
  <si>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</si>
  <si>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</si>
  <si>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</si>
  <si>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</si>
  <si>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</si>
  <si>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</si>
  <si>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</si>
  <si>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</si>
  <si>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</si>
  <si>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</si>
  <si>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</si>
  <si>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</si>
  <si>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</si>
  <si>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</si>
  <si>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</si>
  <si>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</si>
  <si>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</si>
  <si>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</si>
  <si>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</si>
  <si>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</si>
  <si>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</si>
  <si>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</si>
  <si>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</si>
  <si>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</si>
  <si>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</si>
  <si>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</si>
  <si>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</si>
  <si>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</si>
  <si>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</si>
  <si>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</si>
  <si>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</si>
  <si>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</si>
  <si>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</si>
  <si>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</si>
  <si>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</si>
  <si>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</si>
  <si>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</si>
  <si>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</si>
  <si>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</si>
  <si>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</si>
  <si>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</si>
  <si>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</si>
  <si>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</si>
  <si>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</si>
  <si>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</si>
  <si>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</si>
  <si>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</si>
  <si>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</si>
  <si>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</si>
  <si>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</si>
  <si>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</si>
  <si>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</si>
  <si>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</si>
  <si>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</si>
  <si>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</si>
  <si>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</si>
  <si>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</si>
  <si>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</si>
  <si>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</si>
  <si>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</si>
  <si>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</si>
  <si>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</si>
  <si>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</si>
  <si>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</si>
  <si>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</si>
  <si>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</si>
  <si>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</si>
  <si>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</si>
  <si>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</si>
  <si>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</si>
  <si>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</si>
  <si>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</si>
  <si>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</si>
  <si>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</si>
  <si>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</si>
  <si>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</si>
  <si>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</si>
  <si>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</si>
  <si>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</si>
  <si>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</si>
  <si>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</si>
  <si>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</si>
  <si>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</si>
  <si>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</si>
  <si>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</si>
  <si>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</si>
  <si>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</si>
  <si>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</si>
  <si>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</si>
  <si>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</si>
  <si>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</si>
  <si>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</si>
  <si>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</si>
  <si>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</si>
  <si>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</si>
  <si>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</si>
  <si>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</si>
  <si>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</si>
  <si>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</si>
  <si>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</si>
  <si>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</si>
  <si>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</si>
  <si>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</si>
  <si>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</si>
  <si>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</si>
  <si>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</si>
  <si>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</si>
  <si>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</si>
  <si>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</si>
  <si>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</si>
  <si>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</si>
  <si>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</si>
  <si>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</si>
  <si>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</si>
  <si>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</si>
  <si>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</si>
  <si>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</si>
  <si>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</si>
  <si>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</si>
  <si>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</si>
  <si>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</si>
  <si>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</si>
  <si>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</si>
  <si>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</si>
  <si>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</si>
  <si>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</si>
  <si>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</si>
  <si>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</si>
  <si>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</si>
  <si>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</si>
  <si>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</si>
  <si>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</si>
  <si>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</si>
  <si>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</si>
  <si>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</si>
  <si>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</si>
  <si>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</si>
  <si>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</si>
  <si>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</si>
  <si>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</si>
  <si>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</si>
  <si>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</si>
  <si>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</si>
  <si>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</si>
  <si>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</si>
  <si>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</si>
  <si>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</si>
  <si>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</si>
  <si>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</si>
  <si>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</si>
  <si>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</si>
  <si>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</si>
  <si>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</si>
  <si>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</si>
  <si>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</si>
  <si>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</si>
  <si>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</si>
  <si>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</si>
  <si>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</si>
  <si>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</si>
  <si>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</si>
  <si>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</si>
  <si>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</si>
  <si>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</si>
  <si>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</si>
  <si>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</si>
  <si>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</si>
  <si>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</si>
  <si>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</si>
  <si>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</si>
  <si>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</si>
  <si>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</si>
  <si>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</si>
  <si>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</si>
  <si>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</si>
  <si>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</si>
  <si>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</si>
  <si>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</si>
  <si>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</si>
  <si>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</si>
  <si>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</si>
  <si>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</si>
  <si>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</si>
  <si>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</si>
  <si>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</si>
  <si>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</si>
  <si>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</si>
  <si>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</si>
  <si>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</si>
  <si>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</si>
  <si>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</si>
  <si>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</si>
  <si>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</si>
  <si>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</si>
  <si>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</si>
  <si>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</si>
  <si>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</si>
  <si>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</si>
  <si>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</si>
  <si>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</si>
  <si>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</si>
  <si>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</si>
  <si>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</si>
  <si>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</si>
  <si>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</si>
  <si>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</si>
  <si>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</si>
  <si>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</si>
  <si>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</si>
  <si>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</si>
  <si>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</si>
  <si>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</si>
  <si>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</si>
  <si>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</si>
  <si>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</si>
  <si>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</si>
  <si>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</si>
  <si>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</si>
  <si>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</si>
  <si>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</si>
  <si>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</si>
  <si>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</si>
  <si>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</si>
  <si>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</si>
  <si>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</si>
  <si>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</si>
  <si>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</si>
  <si>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</si>
  <si>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</si>
  <si>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</si>
  <si>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</si>
  <si>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</si>
  <si>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</si>
  <si>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</si>
  <si>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</si>
  <si>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</si>
  <si>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</si>
  <si>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</si>
  <si>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</si>
  <si>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</si>
  <si>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</si>
  <si>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</si>
  <si>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</si>
  <si>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</si>
  <si>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</si>
  <si>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</si>
  <si>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</si>
  <si>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</si>
  <si>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</si>
  <si>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</si>
  <si>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</si>
  <si>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</si>
  <si>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</si>
  <si>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</si>
  <si>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</si>
  <si>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</si>
  <si>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</si>
  <si>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</si>
  <si>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</si>
  <si>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</si>
  <si>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</si>
  <si>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</si>
  <si>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</si>
  <si>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</si>
  <si>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</si>
  <si>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</si>
  <si>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</si>
  <si>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</si>
  <si>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</si>
  <si>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</si>
  <si>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</si>
  <si>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</si>
  <si>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</si>
  <si>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</si>
  <si>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</si>
  <si>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</si>
  <si>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</si>
  <si>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</si>
  <si>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</si>
  <si>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</si>
  <si>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</si>
  <si>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</si>
  <si>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</si>
  <si>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</si>
  <si>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</si>
  <si>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</si>
  <si>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</si>
  <si>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</si>
  <si>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</si>
  <si>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</si>
  <si>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</si>
  <si>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</si>
  <si>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</si>
  <si>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</si>
  <si>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</si>
  <si>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</si>
  <si>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</si>
  <si>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</si>
  <si>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</si>
  <si>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</si>
  <si>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</si>
  <si>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</si>
  <si>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</si>
  <si>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</si>
  <si>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</si>
  <si>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</si>
  <si>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</si>
  <si>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</si>
  <si>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</si>
  <si>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</si>
  <si>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</si>
  <si>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</si>
  <si>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</si>
  <si>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</si>
  <si>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</si>
  <si>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</si>
  <si>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</si>
  <si>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</si>
  <si>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</si>
  <si>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</si>
  <si>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</si>
  <si>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</si>
  <si>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</si>
  <si>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</si>
  <si>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</si>
  <si>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</si>
  <si>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</si>
  <si>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</si>
  <si>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</si>
  <si>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</si>
  <si>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</si>
  <si>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</si>
  <si>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</si>
  <si>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</si>
  <si>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</si>
  <si>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</si>
  <si>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</si>
  <si>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</si>
  <si>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</si>
  <si>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</si>
  <si>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</si>
  <si>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</si>
  <si>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</si>
  <si>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</si>
  <si>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</si>
  <si>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</si>
  <si>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</si>
  <si>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</si>
  <si>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</si>
  <si>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</si>
  <si>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</si>
  <si>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</si>
  <si>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</si>
  <si>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</si>
  <si>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</si>
  <si>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</si>
  <si>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</si>
  <si>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</si>
  <si>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</si>
  <si>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</si>
  <si>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</si>
  <si>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</si>
  <si>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</si>
  <si>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</si>
  <si>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</si>
  <si>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</si>
  <si>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</si>
  <si>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</si>
  <si>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</si>
  <si>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</si>
  <si>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</si>
  <si>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</si>
  <si>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</si>
  <si>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</si>
  <si>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</si>
  <si>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</si>
  <si>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</si>
  <si>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</si>
  <si>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</si>
  <si>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</si>
  <si>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</si>
  <si>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</si>
  <si>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</si>
  <si>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</si>
  <si>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</si>
  <si>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</si>
  <si>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</si>
  <si>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</si>
  <si>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</si>
  <si>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</si>
  <si>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</si>
  <si>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</si>
  <si>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</si>
  <si>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</si>
  <si>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</si>
  <si>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</si>
  <si>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</si>
  <si>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</si>
  <si>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</si>
  <si>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</si>
  <si>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</si>
  <si>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</si>
  <si>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</si>
  <si>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</si>
  <si>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</si>
  <si>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</si>
  <si>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</si>
  <si>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</si>
  <si>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</si>
  <si>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</si>
  <si>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</si>
  <si>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</si>
  <si>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</si>
  <si>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</si>
  <si>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</si>
  <si>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</si>
  <si>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</si>
  <si>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</si>
  <si>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</si>
  <si>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</si>
  <si>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</si>
  <si>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</si>
  <si>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</si>
  <si>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</si>
  <si>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</si>
  <si>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</si>
  <si>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</si>
  <si>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</si>
  <si>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</si>
  <si>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</si>
  <si>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</si>
  <si>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</si>
  <si>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</si>
  <si>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</si>
  <si>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</si>
  <si>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</si>
  <si>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</si>
  <si>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</si>
  <si>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</si>
  <si>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</si>
  <si>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</si>
  <si>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</si>
  <si>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</si>
  <si>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</si>
  <si>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</si>
  <si>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</si>
  <si>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</si>
  <si>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</si>
  <si>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</si>
  <si>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</si>
  <si>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</si>
  <si>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</si>
  <si>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</si>
  <si>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</si>
  <si>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</si>
  <si>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</si>
  <si>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</si>
  <si>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</si>
  <si>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</si>
  <si>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</si>
  <si>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</si>
  <si>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</si>
  <si>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</si>
  <si>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</si>
  <si>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</si>
  <si>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</si>
  <si>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</si>
  <si>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</si>
  <si>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</si>
  <si>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</si>
  <si>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</si>
  <si>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</si>
  <si>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</si>
  <si>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</si>
  <si>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</si>
  <si>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</si>
  <si>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</si>
  <si>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</si>
  <si>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</si>
  <si>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</si>
  <si>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</si>
  <si>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</si>
  <si>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</si>
  <si>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</si>
  <si>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</si>
  <si>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</si>
  <si>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</si>
  <si>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</si>
  <si>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</si>
  <si>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</si>
  <si>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</si>
  <si>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</si>
  <si>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</si>
  <si>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</si>
  <si>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</si>
  <si>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</si>
  <si>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</si>
  <si>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</si>
  <si>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</si>
  <si>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</si>
  <si>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</si>
  <si>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</si>
  <si>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</si>
  <si>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</si>
  <si>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</si>
  <si>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</si>
  <si>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</si>
  <si>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</si>
  <si>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</si>
  <si>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</si>
  <si>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</si>
  <si>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</si>
  <si>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</si>
  <si>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</si>
  <si>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</si>
  <si>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</si>
  <si>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</si>
  <si>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</si>
  <si>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</si>
  <si>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</si>
  <si>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</si>
  <si>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</si>
  <si>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</si>
  <si>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</si>
  <si>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</si>
  <si>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</si>
  <si>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</si>
  <si>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</si>
  <si>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</si>
  <si>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</si>
  <si>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</si>
  <si>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</si>
  <si>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</si>
  <si>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</si>
  <si>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</si>
  <si>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</si>
  <si>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</si>
  <si>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</si>
  <si>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</si>
  <si>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</si>
  <si>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</si>
  <si>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</si>
  <si>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</si>
  <si>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</si>
  <si>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</si>
  <si>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</si>
  <si>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</si>
  <si>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</si>
  <si>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</si>
  <si>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</si>
  <si>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</si>
  <si>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</si>
  <si>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</si>
  <si>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</si>
  <si>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</si>
  <si>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</si>
  <si>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</si>
  <si>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</si>
  <si>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</si>
  <si>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</si>
  <si>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</si>
  <si>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</si>
  <si>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</si>
  <si>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</si>
  <si>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</si>
  <si>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</si>
  <si>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</si>
  <si>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</si>
  <si>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</si>
  <si>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</si>
  <si>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</si>
  <si>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</si>
  <si>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</si>
  <si>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</si>
  <si>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</si>
  <si>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</si>
  <si>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</si>
  <si>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</si>
  <si>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</si>
  <si>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</si>
  <si>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</si>
  <si>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</si>
  <si>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</si>
  <si>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</si>
  <si>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</si>
  <si>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</si>
  <si>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</si>
  <si>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</si>
  <si>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</si>
  <si>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</si>
  <si>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</si>
  <si>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</si>
  <si>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</si>
  <si>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</si>
  <si>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</si>
  <si>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</si>
  <si>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</si>
  <si>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</si>
  <si>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</si>
  <si>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</si>
  <si>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</si>
  <si>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</si>
  <si>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</si>
  <si>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</si>
  <si>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</si>
  <si>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</si>
  <si>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</si>
  <si>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</si>
  <si>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</si>
  <si>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</si>
  <si>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</si>
  <si>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</si>
  <si>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</si>
  <si>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</si>
  <si>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</si>
  <si>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</si>
  <si>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</si>
  <si>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</si>
  <si>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</si>
  <si>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</si>
  <si>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</si>
  <si>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</si>
  <si>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</si>
  <si>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</si>
  <si>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</si>
  <si>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</si>
  <si>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</si>
  <si>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</si>
  <si>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</si>
  <si>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</si>
  <si>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</si>
  <si>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</si>
  <si>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</si>
  <si>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</si>
  <si>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</si>
  <si>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</si>
  <si>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</si>
  <si>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</si>
  <si>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</si>
  <si>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</si>
  <si>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</si>
  <si>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</si>
  <si>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</si>
  <si>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</si>
  <si>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</si>
  <si>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</si>
  <si>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</si>
  <si>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</si>
  <si>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</si>
  <si>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</si>
  <si>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</si>
  <si>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</si>
  <si>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</si>
  <si>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</si>
  <si>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</si>
  <si>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</si>
  <si>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</si>
  <si>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</si>
  <si>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</si>
  <si>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</si>
  <si>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</si>
  <si>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</si>
  <si>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</si>
  <si>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</si>
  <si>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</si>
  <si>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</si>
  <si>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</si>
  <si>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</si>
  <si>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</si>
  <si>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</si>
  <si>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</si>
  <si>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</si>
  <si>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</si>
  <si>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</si>
  <si>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</si>
  <si>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</si>
  <si>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</si>
  <si>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</si>
  <si>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</si>
  <si>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</si>
  <si>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</si>
  <si>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</si>
  <si>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</si>
  <si>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</si>
  <si>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</si>
  <si>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</si>
  <si>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</si>
  <si>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</si>
  <si>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</si>
  <si>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</si>
  <si>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</si>
  <si>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</si>
  <si>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</si>
  <si>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</si>
  <si>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</si>
  <si>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</si>
  <si>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</si>
  <si>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</si>
  <si>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</si>
  <si>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</si>
  <si>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</si>
  <si>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</si>
  <si>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</si>
  <si>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</si>
  <si>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</si>
  <si>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</si>
  <si>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</si>
  <si>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</si>
  <si>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</si>
  <si>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</si>
  <si>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</si>
  <si>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</si>
  <si>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</si>
  <si>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</si>
  <si>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</si>
  <si>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</si>
  <si>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</si>
  <si>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</si>
  <si>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</si>
  <si>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</si>
  <si>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</si>
  <si>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</si>
  <si>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</si>
  <si>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</si>
  <si>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</si>
  <si>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</si>
  <si>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</si>
  <si>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</si>
  <si>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</si>
  <si>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</si>
  <si>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</si>
  <si>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</si>
  <si>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</si>
  <si>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</si>
  <si>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</si>
  <si>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</si>
  <si>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</si>
  <si>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</si>
  <si>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</si>
  <si>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</si>
  <si>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</si>
  <si>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</si>
  <si>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</si>
  <si>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</si>
  <si>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</si>
  <si>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</si>
  <si>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</si>
  <si>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</si>
  <si>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</si>
  <si>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</si>
  <si>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</si>
  <si>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</si>
  <si>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</si>
  <si>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</si>
  <si>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</si>
  <si>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</si>
  <si>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</si>
  <si>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</si>
  <si>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</si>
  <si>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</si>
  <si>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</si>
  <si>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</si>
  <si>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</si>
  <si>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</si>
  <si>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</si>
  <si>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</si>
  <si>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</si>
  <si>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</si>
  <si>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</si>
  <si>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</si>
  <si>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</si>
  <si>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</si>
  <si>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</si>
  <si>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</si>
  <si>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</si>
  <si>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</si>
  <si>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</si>
  <si>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</si>
  <si>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</si>
  <si>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</si>
  <si>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</si>
  <si>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</si>
  <si>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</si>
  <si>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</si>
  <si>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</si>
  <si>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</si>
  <si>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</si>
  <si>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</si>
  <si>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</si>
  <si>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</si>
  <si>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</si>
  <si>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</si>
  <si>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</si>
  <si>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</si>
  <si>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</si>
  <si>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</si>
  <si>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</si>
  <si>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</si>
  <si>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</si>
  <si>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</si>
  <si>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</si>
  <si>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</si>
  <si>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</si>
  <si>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</si>
  <si>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</si>
  <si>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</si>
  <si>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</si>
  <si>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</si>
  <si>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</si>
  <si>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</si>
  <si>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</si>
  <si>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</si>
  <si>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</si>
  <si>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</si>
  <si>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</si>
  <si>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</si>
  <si>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</si>
  <si>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</si>
  <si>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</si>
  <si>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</si>
  <si>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</si>
  <si>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</si>
  <si>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</si>
  <si>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</si>
  <si>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</si>
  <si>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</si>
  <si>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</si>
  <si>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</si>
  <si>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</si>
  <si>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</si>
  <si>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</si>
  <si>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</si>
  <si>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</si>
  <si>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</si>
  <si>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</si>
  <si>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</si>
  <si>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</si>
  <si>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</si>
  <si>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</si>
  <si>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</si>
  <si>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</si>
  <si>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</si>
  <si>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</si>
  <si>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</si>
  <si>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</si>
  <si>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</si>
  <si>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</si>
  <si>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</si>
  <si>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</si>
  <si>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</si>
  <si>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</si>
  <si>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</si>
  <si>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</si>
  <si>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</si>
  <si>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</si>
  <si>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</si>
  <si>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</si>
  <si>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</si>
  <si>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</si>
  <si>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</si>
  <si>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</si>
  <si>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</si>
  <si>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</si>
  <si>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</si>
  <si>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</si>
  <si>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</si>
  <si>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</si>
  <si>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</si>
  <si>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</si>
  <si>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</si>
  <si>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</si>
  <si>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</si>
  <si>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</si>
  <si>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</si>
  <si>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</si>
  <si>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</si>
  <si>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</si>
  <si>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</si>
  <si>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</si>
  <si>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</si>
  <si>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</si>
  <si>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</si>
  <si>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</si>
  <si>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</si>
  <si>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</si>
  <si>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</si>
  <si>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</si>
  <si>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</si>
  <si>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</si>
  <si>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</si>
  <si>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</si>
  <si>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</si>
  <si>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</si>
  <si>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</si>
  <si>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</si>
  <si>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</si>
  <si>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</si>
  <si>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</si>
  <si>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</si>
  <si>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</si>
  <si>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</si>
  <si>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</si>
  <si>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</si>
  <si>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</si>
  <si>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</si>
  <si>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</si>
  <si>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</si>
  <si>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</si>
  <si>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</si>
  <si>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</si>
  <si>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</si>
  <si>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</si>
  <si>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</si>
  <si>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</si>
  <si>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</si>
  <si>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</si>
  <si>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</si>
  <si>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</si>
  <si>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</si>
  <si>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</si>
  <si>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</si>
  <si>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</si>
  <si>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</si>
  <si>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</si>
  <si>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</si>
  <si>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</si>
  <si>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</si>
  <si>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</si>
  <si>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</si>
  <si>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</si>
  <si>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</si>
  <si>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</si>
  <si>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</si>
  <si>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</si>
  <si>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</si>
  <si>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</si>
  <si>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</si>
  <si>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</si>
  <si>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</si>
  <si>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</si>
  <si>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</si>
  <si>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</si>
  <si>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</si>
  <si>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</si>
  <si>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</si>
  <si>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</si>
  <si>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</si>
  <si>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</si>
  <si>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</si>
  <si>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</si>
  <si>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</si>
  <si>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</si>
  <si>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</si>
  <si>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</si>
  <si>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</si>
  <si>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</si>
  <si>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</si>
  <si>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</si>
  <si>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</si>
  <si>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</si>
  <si>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</si>
  <si>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</si>
  <si>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</si>
  <si>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</si>
  <si>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</si>
  <si>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</si>
  <si>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</si>
  <si>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</si>
  <si>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</si>
  <si>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</si>
  <si>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</si>
  <si>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</si>
  <si>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</si>
  <si>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</si>
  <si>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</si>
  <si>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</si>
  <si>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</si>
  <si>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</si>
  <si>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</si>
  <si>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</si>
  <si>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</si>
  <si>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</si>
  <si>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</si>
  <si>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</si>
  <si>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</si>
  <si>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</si>
  <si>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</si>
  <si>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</si>
  <si>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</si>
  <si>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</si>
  <si>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</si>
  <si>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</si>
  <si>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</si>
  <si>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Lack of sufficient expertise for full disclosure year end financial statement preparation could result in controls not being effective in preventing or detecting material misstatements particularly in the related footnotes to the financial statements.</t>
  </si>
  <si>
    <t>23. The opinion is adverse due to the use of the Regulatory Basis of Accounting.</t>
  </si>
  <si>
    <t>x</t>
  </si>
  <si>
    <t>JEFFERSON</t>
  </si>
  <si>
    <t>1714 BROADWAY</t>
  </si>
  <si>
    <t>MT. VERNON</t>
  </si>
  <si>
    <t>rdaniels@roe13.org</t>
  </si>
  <si>
    <t>RON DANIELS</t>
  </si>
  <si>
    <t>RON DANIELS, ADMINISTRATIVE AGENT</t>
  </si>
  <si>
    <t>618-244-8040</t>
  </si>
  <si>
    <t>618-241-7868</t>
  </si>
  <si>
    <t>Regional Office of Education #13</t>
  </si>
  <si>
    <t>Page 11, Line 111 - CTE Secondary</t>
  </si>
  <si>
    <t>Page 11, Line 112 - VE Perkins - TitleIIC Secondary</t>
  </si>
  <si>
    <t>Page 13, Page 227 - VE Perkins - TitleIIC Secondary</t>
  </si>
  <si>
    <t>Audit Check - Contracts have not been entered first because the System has no contracts.  Also, the indirect cost page does</t>
  </si>
  <si>
    <t xml:space="preserve">                                      not apply to a joint agreement.</t>
  </si>
  <si>
    <t>The System prepares interim financial reports using software specifically designed for school district financial reporting.  For year end reporting purposes, the System relies on the auditor to prepare drafts of full disclosure financial statements (including footnotes) in a format acceptable by ISBE.  The System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</si>
  <si>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System's internal controls, including monitoring ongoing activities, since doing so would impair the auditor's independence.</t>
  </si>
  <si>
    <t>The System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System accounting staff.</t>
  </si>
  <si>
    <t xml:space="preserve">The System should review the additional costs it would incur to prepare the financial statements internally with the corresponding reduction of risk associated with material misstatement of the System's financial statements.
</t>
  </si>
  <si>
    <t>Management is currently confident with the abilities of the accounting staff to prepare interim financial statements.  The System has also accepted the additional risk associated with the auditor drafting the year end financial statements including the notes to the financial statements.  Management will review, approve and take responsibility for the audit adjustments and financial statements.</t>
  </si>
  <si>
    <t>See PDF on opinion page</t>
  </si>
  <si>
    <t>Rend Lake Area Reg Del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</si>
</sst>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1104034</xdr:colOff>
          <xdr:row>5</xdr:row>
          <xdr:rowOff>12123</xdr:rowOff>
        </xdr:from>
        <xdr:to>
          <xdr:col>1</xdr:col>
          <xdr:colOff>2018434</xdr:colOff>
          <xdr:row>9</xdr:row>
          <xdr:rowOff>50223</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2" t="s">
        <v>405</v>
      </c>
      <c r="J1" s="1983"/>
      <c r="K1" s="1983"/>
      <c r="L1" s="1983"/>
      <c r="M1" s="1983"/>
      <c r="N1" s="1983"/>
      <c r="O1" s="1983"/>
      <c r="P1" s="1983"/>
      <c r="Q1" s="1983"/>
      <c r="R1" s="1983"/>
      <c r="S1" s="1983"/>
    </row>
    <row r="2" spans="1:28" ht="12" customHeight="1" x14ac:dyDescent="0.2">
      <c r="A2" s="47" t="s">
        <v>1991</v>
      </c>
      <c r="D2" s="48"/>
      <c r="I2" s="1984" t="s">
        <v>979</v>
      </c>
      <c r="J2" s="1983"/>
      <c r="K2" s="1983"/>
      <c r="L2" s="1983"/>
      <c r="M2" s="1983"/>
      <c r="N2" s="1983"/>
      <c r="O2" s="1983"/>
      <c r="P2" s="1983"/>
      <c r="Q2" s="1983"/>
      <c r="R2" s="1983"/>
      <c r="S2" s="1983"/>
    </row>
    <row r="3" spans="1:28" ht="12" customHeight="1" x14ac:dyDescent="0.2">
      <c r="A3" s="155" t="s">
        <v>1943</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c r="C5" s="26" t="s">
        <v>910</v>
      </c>
      <c r="D5" s="84"/>
      <c r="E5" s="84"/>
      <c r="H5" s="38"/>
      <c r="I5" s="1992" t="s">
        <v>680</v>
      </c>
      <c r="J5" s="1991"/>
      <c r="K5" s="1991"/>
      <c r="L5" s="1991"/>
      <c r="M5" s="1991"/>
      <c r="N5" s="1991"/>
      <c r="O5" s="1991"/>
      <c r="P5" s="1991"/>
      <c r="Q5" s="1991"/>
      <c r="R5" s="1991"/>
      <c r="S5" s="1991"/>
    </row>
    <row r="6" spans="1:28" ht="14.1" customHeight="1" x14ac:dyDescent="0.2">
      <c r="B6" s="104" t="s">
        <v>2065</v>
      </c>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2065</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13000000047</v>
      </c>
      <c r="B13" s="2018"/>
      <c r="C13" s="2018"/>
      <c r="D13" s="2018"/>
      <c r="E13" s="2018"/>
      <c r="F13" s="2018"/>
      <c r="G13" s="2018"/>
      <c r="H13" s="2019"/>
      <c r="I13" s="31"/>
      <c r="J13" s="30"/>
      <c r="K13" s="28"/>
      <c r="L13" s="30"/>
      <c r="M13" s="30"/>
      <c r="N13" s="30"/>
      <c r="O13" s="30"/>
      <c r="P13" s="30"/>
      <c r="Q13" s="30"/>
      <c r="R13" s="30"/>
      <c r="S13" s="30"/>
      <c r="T13" s="2022" t="s">
        <v>2066</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2079</v>
      </c>
      <c r="B15" s="2020"/>
      <c r="C15" s="2020"/>
      <c r="D15" s="2020"/>
      <c r="E15" s="2020"/>
      <c r="F15" s="2020"/>
      <c r="G15" s="2020"/>
      <c r="H15" s="2021"/>
      <c r="T15" s="2026" t="s">
        <v>2067</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2099</v>
      </c>
      <c r="B17" s="1977"/>
      <c r="C17" s="1977"/>
      <c r="D17" s="1977"/>
      <c r="E17" s="1977"/>
      <c r="F17" s="1977"/>
      <c r="G17" s="1977"/>
      <c r="H17" s="2002"/>
      <c r="T17" s="2033" t="s">
        <v>2068</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2080</v>
      </c>
      <c r="B19" s="1962"/>
      <c r="C19" s="1962"/>
      <c r="D19" s="1962"/>
      <c r="E19" s="1962"/>
      <c r="F19" s="1962"/>
      <c r="G19" s="1962"/>
      <c r="H19" s="1942"/>
      <c r="I19" s="30"/>
      <c r="J19" s="99"/>
      <c r="K19" s="40"/>
      <c r="L19" s="38"/>
      <c r="M19" s="112" t="s">
        <v>315</v>
      </c>
      <c r="P19" s="27"/>
      <c r="Q19" s="27"/>
      <c r="R19" s="27"/>
      <c r="S19" s="31"/>
      <c r="T19" s="2016" t="s">
        <v>2069</v>
      </c>
      <c r="U19" s="1941"/>
      <c r="V19" s="1941"/>
      <c r="W19" s="1942"/>
      <c r="X19" s="2031" t="s">
        <v>2070</v>
      </c>
      <c r="Y19" s="2032"/>
      <c r="Z19" s="2029">
        <v>62870</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2081</v>
      </c>
      <c r="B21" s="1941"/>
      <c r="C21" s="1941"/>
      <c r="D21" s="1941"/>
      <c r="E21" s="1941"/>
      <c r="F21" s="1941"/>
      <c r="G21" s="1941"/>
      <c r="H21" s="1942"/>
      <c r="I21" s="1996" t="s">
        <v>678</v>
      </c>
      <c r="J21" s="1991"/>
      <c r="K21" s="1991"/>
      <c r="L21" s="1991"/>
      <c r="M21" s="1991"/>
      <c r="N21" s="1991"/>
      <c r="O21" s="1991"/>
      <c r="P21" s="1991"/>
      <c r="Q21" s="1991"/>
      <c r="R21" s="1991"/>
      <c r="S21" s="1997"/>
      <c r="T21" s="2040" t="s">
        <v>2071</v>
      </c>
      <c r="U21" s="2041"/>
      <c r="V21" s="2041"/>
      <c r="W21" s="2041"/>
      <c r="X21" s="2046" t="s">
        <v>2072</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2082</v>
      </c>
      <c r="B23" s="1994"/>
      <c r="C23" s="1994"/>
      <c r="D23" s="1994"/>
      <c r="E23" s="1994"/>
      <c r="F23" s="1994"/>
      <c r="G23" s="1994"/>
      <c r="H23" s="1995"/>
      <c r="T23" s="1976" t="s">
        <v>2073</v>
      </c>
      <c r="U23" s="2039"/>
      <c r="V23" s="2039"/>
      <c r="W23" s="2039"/>
      <c r="X23" s="2043">
        <v>44530</v>
      </c>
      <c r="Y23" s="2044"/>
      <c r="Z23" s="2044"/>
      <c r="AA23" s="2045"/>
    </row>
    <row r="24" spans="1:27" ht="14.1" customHeight="1" x14ac:dyDescent="0.2">
      <c r="A24" s="88" t="s">
        <v>677</v>
      </c>
      <c r="B24" s="49"/>
      <c r="C24" s="49"/>
      <c r="D24" s="49"/>
      <c r="E24" s="49"/>
      <c r="F24" s="49"/>
      <c r="G24" s="49"/>
      <c r="H24" s="61"/>
      <c r="J24" s="1963" t="str">
        <f>IF(B5="x",IF(AUDITCHECK!D29="AFR form Incomplete.","",IF(AUDITCHECK!D29="Deficit reduction plan is required.","School District must complete a deficit reduction plan in the 2019-2020 Budget",)),"")</f>
        <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62864</v>
      </c>
      <c r="B25" s="1941"/>
      <c r="C25" s="1941"/>
      <c r="D25" s="1941"/>
      <c r="E25" s="1941"/>
      <c r="F25" s="1941"/>
      <c r="G25" s="1941"/>
      <c r="H25" s="1942"/>
      <c r="I25" s="113"/>
      <c r="J25" s="1965"/>
      <c r="K25" s="1965"/>
      <c r="L25" s="1965"/>
      <c r="M25" s="1965"/>
      <c r="N25" s="1965"/>
      <c r="O25" s="1965"/>
      <c r="P25" s="1965"/>
      <c r="Q25" s="1965"/>
      <c r="R25" s="1965"/>
      <c r="S25" s="1966"/>
      <c r="T25" s="2036" t="s">
        <v>2074</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2084</v>
      </c>
      <c r="B38" s="1977"/>
      <c r="C38" s="1977"/>
      <c r="D38" s="1977"/>
      <c r="E38" s="1977"/>
      <c r="F38" s="1941"/>
      <c r="G38" s="1941"/>
      <c r="H38" s="1942"/>
      <c r="I38" s="1969"/>
      <c r="J38" s="1970"/>
      <c r="K38" s="1970"/>
      <c r="L38" s="1970"/>
      <c r="M38" s="1970"/>
      <c r="N38" s="1970"/>
      <c r="O38" s="1970"/>
      <c r="P38" s="1971"/>
      <c r="Q38" s="1971"/>
      <c r="R38" s="1971"/>
      <c r="S38" s="1972"/>
      <c r="T38" s="2026" t="s">
        <v>2083</v>
      </c>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2082</v>
      </c>
      <c r="B40" s="1955"/>
      <c r="C40" s="1956"/>
      <c r="D40" s="1956"/>
      <c r="E40" s="1956"/>
      <c r="F40" s="1957"/>
      <c r="G40" s="1957"/>
      <c r="H40" s="1958"/>
      <c r="I40" s="1979"/>
      <c r="J40" s="1980"/>
      <c r="K40" s="1980"/>
      <c r="L40" s="1980"/>
      <c r="M40" s="1980"/>
      <c r="N40" s="1980"/>
      <c r="O40" s="1980"/>
      <c r="P40" s="1980"/>
      <c r="Q40" s="1980"/>
      <c r="R40" s="1980"/>
      <c r="S40" s="1981"/>
      <c r="T40" s="1979" t="s">
        <v>2082</v>
      </c>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2085</v>
      </c>
      <c r="B42" s="1960"/>
      <c r="C42" s="1961"/>
      <c r="D42" s="1959" t="s">
        <v>2086</v>
      </c>
      <c r="E42" s="1960"/>
      <c r="F42" s="1960"/>
      <c r="G42" s="1960"/>
      <c r="H42" s="1961"/>
      <c r="I42" s="1943"/>
      <c r="J42" s="1944"/>
      <c r="K42" s="1944"/>
      <c r="L42" s="1944"/>
      <c r="M42" s="1944"/>
      <c r="N42" s="1944"/>
      <c r="O42" s="1945"/>
      <c r="P42" s="1978"/>
      <c r="Q42" s="1944"/>
      <c r="R42" s="1944"/>
      <c r="S42" s="1945"/>
      <c r="T42" s="1943" t="s">
        <v>2085</v>
      </c>
      <c r="U42" s="1944"/>
      <c r="V42" s="1944"/>
      <c r="W42" s="1945"/>
      <c r="X42" s="1978" t="s">
        <v>2086</v>
      </c>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2078</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2077</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2066</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2098</v>
      </c>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1">
        <f>ROUND(D10+F10+H10,5)</f>
        <v>0</v>
      </c>
      <c r="K10" s="222"/>
      <c r="L10" s="355"/>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442852</v>
      </c>
      <c r="E16" s="356"/>
      <c r="F16" s="1732">
        <f>SUM('Acct Summary 7-8'!C17,'Acct Summary 7-8'!D17,'Acct Summary 7-8'!F17)</f>
        <v>394899</v>
      </c>
      <c r="G16" s="356"/>
      <c r="H16" s="1732">
        <f>SUM(D16-F16)</f>
        <v>47953</v>
      </c>
      <c r="I16" s="222"/>
      <c r="J16" s="1732">
        <f>SUM('Acct Summary 7-8'!C81,'Acct Summary 7-8'!D81,'Acct Summary 7-8'!F81,'Acct Summary 7-8'!I81)</f>
        <v>52957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Rend Lake Area Reg Del System</v>
      </c>
      <c r="E7" s="391"/>
      <c r="G7" s="252"/>
      <c r="H7" s="387"/>
      <c r="I7" s="387"/>
      <c r="J7" s="387"/>
      <c r="K7" s="387"/>
      <c r="L7" s="329"/>
      <c r="M7" s="329"/>
      <c r="N7" s="329"/>
      <c r="O7" s="329"/>
      <c r="P7" s="329"/>
    </row>
    <row r="8" spans="1:18" ht="12.75" x14ac:dyDescent="0.2">
      <c r="A8" s="329"/>
      <c r="B8" s="329"/>
      <c r="C8" s="389" t="s">
        <v>1125</v>
      </c>
      <c r="D8" s="392">
        <f>COVER!A13</f>
        <v>13000000047</v>
      </c>
      <c r="E8" s="393"/>
      <c r="G8" s="329"/>
      <c r="H8" s="329"/>
      <c r="I8" s="329"/>
      <c r="J8" s="329"/>
      <c r="K8" s="329"/>
      <c r="L8" s="329"/>
      <c r="M8" s="329"/>
      <c r="N8" s="329"/>
      <c r="O8" s="329"/>
      <c r="P8" s="329"/>
    </row>
    <row r="9" spans="1:18" ht="12.75" x14ac:dyDescent="0.2">
      <c r="A9" s="329"/>
      <c r="B9" s="329"/>
      <c r="C9" s="389" t="s">
        <v>713</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52957</v>
      </c>
      <c r="I12" s="404"/>
      <c r="J12" s="404"/>
      <c r="K12" s="405">
        <f>TRUNC((H12/H13*100000),5)/100000</f>
        <v>0.11958171120000001</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442852</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394899</v>
      </c>
      <c r="I17" s="404"/>
      <c r="J17" s="416"/>
      <c r="K17" s="405">
        <f>TRUNC((H17/H18*100000),5)/100000</f>
        <v>0.89171777470000002</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442852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52957</v>
      </c>
      <c r="I24" s="422"/>
      <c r="J24" s="422"/>
      <c r="K24" s="423">
        <f>TRUNC(((H24/H25*100000)/100000),2)</f>
        <v>48.27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1096.9416699999999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13" sqref="A13:H13"/>
      <selection pane="bottomLeft" activeCell="A13" sqref="A13:H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52957</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52957</v>
      </c>
      <c r="D13" s="1736">
        <f t="shared" ref="D13:L13" si="0">SUM(D4:D12)</f>
        <v>0</v>
      </c>
      <c r="E13" s="1736">
        <f t="shared" si="0"/>
        <v>0</v>
      </c>
      <c r="F13" s="1736">
        <f t="shared" si="0"/>
        <v>0</v>
      </c>
      <c r="G13" s="1736">
        <f t="shared" si="0"/>
        <v>0</v>
      </c>
      <c r="H13" s="1736">
        <f t="shared" si="0"/>
        <v>0</v>
      </c>
      <c r="I13" s="1736">
        <f t="shared" si="0"/>
        <v>0</v>
      </c>
      <c r="J13" s="1736">
        <f t="shared" si="0"/>
        <v>0</v>
      </c>
      <c r="K13" s="1736">
        <f t="shared" si="0"/>
        <v>0</v>
      </c>
      <c r="L13" s="1736">
        <f t="shared" si="0"/>
        <v>0</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568662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5" t="s">
        <v>643</v>
      </c>
      <c r="B23" s="1740"/>
      <c r="C23" s="468"/>
      <c r="D23" s="468"/>
      <c r="E23" s="468"/>
      <c r="F23" s="468"/>
      <c r="G23" s="468"/>
      <c r="H23" s="468"/>
      <c r="I23" s="468"/>
      <c r="J23" s="468"/>
      <c r="K23" s="468"/>
      <c r="L23" s="468"/>
      <c r="M23" s="1687">
        <f>SUM(M15:M22)</f>
        <v>568662</v>
      </c>
      <c r="N23" s="1687">
        <f>SUM(N21:N22)</f>
        <v>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0</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5" t="s">
        <v>653</v>
      </c>
      <c r="B37" s="1740"/>
      <c r="C37" s="477"/>
      <c r="D37" s="477"/>
      <c r="E37" s="477"/>
      <c r="F37" s="477"/>
      <c r="G37" s="477"/>
      <c r="H37" s="477"/>
      <c r="I37" s="477"/>
      <c r="J37" s="477"/>
      <c r="K37" s="477"/>
      <c r="L37" s="480"/>
      <c r="M37" s="468"/>
      <c r="N37" s="1687">
        <f>SUM(N36:N36)</f>
        <v>0</v>
      </c>
    </row>
    <row r="38" spans="1:14" s="329" customFormat="1" ht="13.5" customHeight="1" thickTop="1" x14ac:dyDescent="0.2">
      <c r="A38" s="496" t="s">
        <v>420</v>
      </c>
      <c r="B38" s="483">
        <v>714</v>
      </c>
      <c r="C38" s="466">
        <v>47876</v>
      </c>
      <c r="D38" s="466"/>
      <c r="E38" s="466"/>
      <c r="F38" s="466"/>
      <c r="G38" s="466"/>
      <c r="H38" s="466"/>
      <c r="I38" s="466"/>
      <c r="J38" s="467"/>
      <c r="K38" s="466"/>
      <c r="L38" s="481"/>
      <c r="M38" s="497"/>
      <c r="N38" s="497"/>
    </row>
    <row r="39" spans="1:14" s="329" customFormat="1" ht="13.5" customHeight="1" x14ac:dyDescent="0.2">
      <c r="A39" s="496" t="s">
        <v>342</v>
      </c>
      <c r="B39" s="483">
        <v>730</v>
      </c>
      <c r="C39" s="466">
        <v>5081</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568662</v>
      </c>
      <c r="N40" s="497"/>
    </row>
    <row r="41" spans="1:14" ht="13.5" customHeight="1" thickBot="1" x14ac:dyDescent="0.25">
      <c r="A41" s="1735" t="s">
        <v>655</v>
      </c>
      <c r="B41" s="1705"/>
      <c r="C41" s="1687">
        <f>(SUM(C34,C37,C38,C39))</f>
        <v>52957</v>
      </c>
      <c r="D41" s="1687">
        <f t="shared" ref="D41:L41" si="2">SUM(D34,D37,D38:D39)</f>
        <v>0</v>
      </c>
      <c r="E41" s="1687">
        <f t="shared" si="2"/>
        <v>0</v>
      </c>
      <c r="F41" s="1687">
        <f t="shared" si="2"/>
        <v>0</v>
      </c>
      <c r="G41" s="1687">
        <f t="shared" si="2"/>
        <v>0</v>
      </c>
      <c r="H41" s="1687">
        <f t="shared" si="2"/>
        <v>0</v>
      </c>
      <c r="I41" s="1687">
        <f t="shared" si="2"/>
        <v>0</v>
      </c>
      <c r="J41" s="1687">
        <f t="shared" si="2"/>
        <v>0</v>
      </c>
      <c r="K41" s="1687">
        <f t="shared" si="2"/>
        <v>0</v>
      </c>
      <c r="L41" s="1687">
        <f t="shared" si="2"/>
        <v>0</v>
      </c>
      <c r="M41" s="1687">
        <f>SUM(M40)</f>
        <v>568662</v>
      </c>
      <c r="N41" s="1687">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6" t="s">
        <v>1499</v>
      </c>
      <c r="B4" s="1927">
        <v>1000</v>
      </c>
      <c r="C4" s="1741">
        <f>'Revenues 9-14'!C109</f>
        <v>1924</v>
      </c>
      <c r="D4" s="1741">
        <f>'Revenues 9-14'!D109</f>
        <v>0</v>
      </c>
      <c r="E4" s="1741">
        <f>'Revenues 9-14'!E109</f>
        <v>0</v>
      </c>
      <c r="F4" s="1741">
        <f>'Revenues 9-14'!F109</f>
        <v>0</v>
      </c>
      <c r="G4" s="1741">
        <f>'Revenues 9-14'!G109</f>
        <v>0</v>
      </c>
      <c r="H4" s="1741">
        <f>'Revenues 9-14'!H109</f>
        <v>0</v>
      </c>
      <c r="I4" s="1741">
        <f>'Revenues 9-14'!I109</f>
        <v>0</v>
      </c>
      <c r="J4" s="1741">
        <f>'Revenues 9-14'!J109</f>
        <v>0</v>
      </c>
      <c r="K4" s="1741">
        <f>'Revenues 9-14'!K109</f>
        <v>0</v>
      </c>
      <c r="L4" s="347"/>
    </row>
    <row r="5" spans="1:13" ht="15.75" customHeight="1" x14ac:dyDescent="0.2">
      <c r="A5" s="1576" t="s">
        <v>1500</v>
      </c>
      <c r="B5" s="1577">
        <v>2000</v>
      </c>
      <c r="C5" s="1742">
        <f>'Revenues 9-14'!C114</f>
        <v>340007</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96423</v>
      </c>
      <c r="D6" s="1742">
        <f>'Revenues 9-14'!D170</f>
        <v>0</v>
      </c>
      <c r="E6" s="1742">
        <f>'Revenues 9-14'!E170</f>
        <v>0</v>
      </c>
      <c r="F6" s="1742">
        <f>'Revenues 9-14'!F170</f>
        <v>0</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4498</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442852</v>
      </c>
      <c r="D8" s="1687">
        <f t="shared" ref="D8:K8" si="0">SUM(D4:D7)</f>
        <v>0</v>
      </c>
      <c r="E8" s="1687">
        <f t="shared" si="0"/>
        <v>0</v>
      </c>
      <c r="F8" s="1687">
        <f t="shared" si="0"/>
        <v>0</v>
      </c>
      <c r="G8" s="1687">
        <f t="shared" si="0"/>
        <v>0</v>
      </c>
      <c r="H8" s="1687">
        <f t="shared" si="0"/>
        <v>0</v>
      </c>
      <c r="I8" s="1687">
        <f t="shared" si="0"/>
        <v>0</v>
      </c>
      <c r="J8" s="1687">
        <f t="shared" si="0"/>
        <v>0</v>
      </c>
      <c r="K8" s="1687">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5" t="s">
        <v>1173</v>
      </c>
      <c r="B10" s="1708"/>
      <c r="C10" s="1687">
        <f>SUM(C8:C9)</f>
        <v>442852</v>
      </c>
      <c r="D10" s="1687">
        <f t="shared" ref="D10:K10" si="1">SUM(D8:D9)</f>
        <v>0</v>
      </c>
      <c r="E10" s="1687">
        <f t="shared" si="1"/>
        <v>0</v>
      </c>
      <c r="F10" s="1687">
        <f t="shared" si="1"/>
        <v>0</v>
      </c>
      <c r="G10" s="1687">
        <f t="shared" si="1"/>
        <v>0</v>
      </c>
      <c r="H10" s="1687">
        <f t="shared" si="1"/>
        <v>0</v>
      </c>
      <c r="I10" s="1687">
        <f t="shared" si="1"/>
        <v>0</v>
      </c>
      <c r="J10" s="1687">
        <f t="shared" si="1"/>
        <v>0</v>
      </c>
      <c r="K10" s="1687">
        <f t="shared" si="1"/>
        <v>0</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1">
        <f>'Expenditures 15-22'!K33</f>
        <v>24466</v>
      </c>
      <c r="D12" s="520" t="s">
        <v>1169</v>
      </c>
      <c r="E12" s="468" t="s">
        <v>1169</v>
      </c>
      <c r="F12" s="468" t="s">
        <v>1169</v>
      </c>
      <c r="G12" s="1741">
        <f>'Expenditures 15-22'!K229</f>
        <v>0</v>
      </c>
      <c r="H12" s="521"/>
      <c r="I12" s="468" t="s">
        <v>1169</v>
      </c>
      <c r="J12" s="468" t="s">
        <v>1169</v>
      </c>
      <c r="K12" s="521" t="s">
        <v>1169</v>
      </c>
      <c r="L12" s="347"/>
    </row>
    <row r="13" spans="1:13" ht="15.75" customHeight="1" x14ac:dyDescent="0.2">
      <c r="A13" s="1576" t="s">
        <v>457</v>
      </c>
      <c r="B13" s="1578">
        <v>2000</v>
      </c>
      <c r="C13" s="1742">
        <f>'Expenditures 15-22'!K74</f>
        <v>30426</v>
      </c>
      <c r="D13" s="1742">
        <f>'Expenditures 15-22'!K129</f>
        <v>0</v>
      </c>
      <c r="E13" s="469" t="s">
        <v>1169</v>
      </c>
      <c r="F13" s="1742">
        <f>'Expenditures 15-22'!K184</f>
        <v>0</v>
      </c>
      <c r="G13" s="1742">
        <f>'Expenditures 15-22'!K279</f>
        <v>0</v>
      </c>
      <c r="H13" s="1742">
        <f>'Expenditures 15-22'!K303</f>
        <v>0</v>
      </c>
      <c r="I13" s="468" t="s">
        <v>1169</v>
      </c>
      <c r="J13" s="1742">
        <f>'Expenditures 15-22'!K330</f>
        <v>0</v>
      </c>
      <c r="K13" s="1746">
        <f>'Expenditures 15-22'!K352</f>
        <v>0</v>
      </c>
      <c r="L13" s="347"/>
    </row>
    <row r="14" spans="1:13" ht="15.75" customHeight="1" x14ac:dyDescent="0.2">
      <c r="A14" s="1576" t="s">
        <v>449</v>
      </c>
      <c r="B14" s="1578">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340007</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0</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394899</v>
      </c>
      <c r="D17" s="1687">
        <f t="shared" si="2"/>
        <v>0</v>
      </c>
      <c r="E17" s="1687">
        <f t="shared" si="2"/>
        <v>0</v>
      </c>
      <c r="F17" s="1687">
        <f t="shared" si="2"/>
        <v>0</v>
      </c>
      <c r="G17" s="1687">
        <f t="shared" si="2"/>
        <v>0</v>
      </c>
      <c r="H17" s="1687">
        <f t="shared" si="2"/>
        <v>0</v>
      </c>
      <c r="I17" s="468"/>
      <c r="J17" s="1687">
        <f>SUM(J12:J16)</f>
        <v>0</v>
      </c>
      <c r="K17" s="1687">
        <f>SUM(K12:K16)</f>
        <v>0</v>
      </c>
      <c r="L17" s="347"/>
    </row>
    <row r="18" spans="1:12" ht="15" customHeight="1" thickTop="1" x14ac:dyDescent="0.2">
      <c r="A18" s="1743" t="s">
        <v>1654</v>
      </c>
      <c r="B18" s="1744">
        <v>4180</v>
      </c>
      <c r="C18" s="1741">
        <f t="shared" ref="C18:H18" si="3">C9</f>
        <v>0</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394899</v>
      </c>
      <c r="D19" s="1687">
        <f t="shared" si="4"/>
        <v>0</v>
      </c>
      <c r="E19" s="1687">
        <f t="shared" si="4"/>
        <v>0</v>
      </c>
      <c r="F19" s="1687">
        <f t="shared" si="4"/>
        <v>0</v>
      </c>
      <c r="G19" s="1687">
        <f t="shared" si="4"/>
        <v>0</v>
      </c>
      <c r="H19" s="1687">
        <f t="shared" si="4"/>
        <v>0</v>
      </c>
      <c r="I19" s="468"/>
      <c r="J19" s="1687">
        <f>SUM(J17:J18)</f>
        <v>0</v>
      </c>
      <c r="K19" s="1687">
        <f>SUM(K17:K18)</f>
        <v>0</v>
      </c>
      <c r="L19" s="347"/>
    </row>
    <row r="20" spans="1:12" ht="16.5" thickTop="1" thickBot="1" x14ac:dyDescent="0.25">
      <c r="A20" s="2125" t="s">
        <v>1655</v>
      </c>
      <c r="B20" s="2126"/>
      <c r="C20" s="1745">
        <f>C8-C17</f>
        <v>47953</v>
      </c>
      <c r="D20" s="1745">
        <f t="shared" ref="D20:K20" si="5">D8-D17</f>
        <v>0</v>
      </c>
      <c r="E20" s="1745">
        <f t="shared" si="5"/>
        <v>0</v>
      </c>
      <c r="F20" s="1745">
        <f t="shared" si="5"/>
        <v>0</v>
      </c>
      <c r="G20" s="1745">
        <f t="shared" si="5"/>
        <v>0</v>
      </c>
      <c r="H20" s="1745">
        <f t="shared" si="5"/>
        <v>0</v>
      </c>
      <c r="I20" s="1745">
        <f t="shared" si="5"/>
        <v>0</v>
      </c>
      <c r="J20" s="1745">
        <f t="shared" si="5"/>
        <v>0</v>
      </c>
      <c r="K20" s="1745">
        <f t="shared" si="5"/>
        <v>0</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7" t="s">
        <v>1177</v>
      </c>
      <c r="B77" s="2118"/>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1" t="s">
        <v>597</v>
      </c>
      <c r="B78" s="2122"/>
      <c r="C78" s="1701">
        <f t="shared" ref="C78:K78" si="9">C20+C77</f>
        <v>47953</v>
      </c>
      <c r="D78" s="1701">
        <f t="shared" si="9"/>
        <v>0</v>
      </c>
      <c r="E78" s="1701">
        <f t="shared" si="9"/>
        <v>0</v>
      </c>
      <c r="F78" s="1701">
        <f t="shared" si="9"/>
        <v>0</v>
      </c>
      <c r="G78" s="1701">
        <f t="shared" si="9"/>
        <v>0</v>
      </c>
      <c r="H78" s="1701">
        <f t="shared" si="9"/>
        <v>0</v>
      </c>
      <c r="I78" s="1701">
        <f t="shared" si="9"/>
        <v>0</v>
      </c>
      <c r="J78" s="1701">
        <f t="shared" si="9"/>
        <v>0</v>
      </c>
      <c r="K78" s="1701">
        <f t="shared" si="9"/>
        <v>0</v>
      </c>
      <c r="L78" s="533"/>
    </row>
    <row r="79" spans="1:12" ht="13.5" thickTop="1" x14ac:dyDescent="0.2">
      <c r="A79" s="1494" t="s">
        <v>1947</v>
      </c>
      <c r="B79" s="534"/>
      <c r="C79" s="478">
        <v>5004</v>
      </c>
      <c r="D79" s="535"/>
      <c r="E79" s="535"/>
      <c r="F79" s="535"/>
      <c r="G79" s="535"/>
      <c r="H79" s="535"/>
      <c r="I79" s="535"/>
      <c r="J79" s="535"/>
      <c r="K79" s="535"/>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1948</v>
      </c>
      <c r="B81" s="2120"/>
      <c r="C81" s="1687">
        <f>(SUM(C78:C80))</f>
        <v>52957</v>
      </c>
      <c r="D81" s="1687">
        <f>SUM(D78:D80)</f>
        <v>0</v>
      </c>
      <c r="E81" s="1687">
        <f t="shared" ref="E81:K81" si="10">SUM(E78:E80)</f>
        <v>0</v>
      </c>
      <c r="F81" s="1687">
        <f t="shared" si="10"/>
        <v>0</v>
      </c>
      <c r="G81" s="1687">
        <f t="shared" si="10"/>
        <v>0</v>
      </c>
      <c r="H81" s="1687">
        <f t="shared" si="10"/>
        <v>0</v>
      </c>
      <c r="I81" s="1687">
        <f t="shared" si="10"/>
        <v>0</v>
      </c>
      <c r="J81" s="1687">
        <f t="shared" si="10"/>
        <v>0</v>
      </c>
      <c r="K81" s="1687">
        <f t="shared" si="10"/>
        <v>0</v>
      </c>
      <c r="L81" s="347"/>
    </row>
    <row r="82" spans="1:12" ht="0.75" customHeight="1" thickTop="1" thickBot="1" x14ac:dyDescent="0.25">
      <c r="A82" s="536" t="s">
        <v>343</v>
      </c>
      <c r="B82" s="537"/>
      <c r="C82" s="538">
        <f>(C81-C79)</f>
        <v>47953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0.9055082425363975</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26" activePane="bottomLeft" state="frozen"/>
      <selection activeCell="A13" sqref="A13:H13"/>
      <selection pane="bottomLeft" activeCell="C135" sqref="C13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0</v>
      </c>
      <c r="D12" s="1706">
        <f t="shared" si="0"/>
        <v>0</v>
      </c>
      <c r="E12" s="1706">
        <f t="shared" si="0"/>
        <v>0</v>
      </c>
      <c r="F12" s="1706">
        <f t="shared" si="0"/>
        <v>0</v>
      </c>
      <c r="G12" s="1706">
        <f t="shared" si="0"/>
        <v>0</v>
      </c>
      <c r="H12" s="1706">
        <f t="shared" si="0"/>
        <v>0</v>
      </c>
      <c r="I12" s="1706">
        <f t="shared" si="0"/>
        <v>0</v>
      </c>
      <c r="J12" s="1706">
        <f t="shared" si="0"/>
        <v>0</v>
      </c>
      <c r="K12" s="1687">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0</v>
      </c>
      <c r="D18" s="1709">
        <f t="shared" ref="D18:K18" si="1">SUM(D14:D17)</f>
        <v>0</v>
      </c>
      <c r="E18" s="1709">
        <f t="shared" si="1"/>
        <v>0</v>
      </c>
      <c r="F18" s="1709">
        <f t="shared" si="1"/>
        <v>0</v>
      </c>
      <c r="G18" s="1709">
        <f t="shared" si="1"/>
        <v>0</v>
      </c>
      <c r="H18" s="1709">
        <f t="shared" si="1"/>
        <v>0</v>
      </c>
      <c r="I18" s="1709">
        <f t="shared" si="1"/>
        <v>0</v>
      </c>
      <c r="J18" s="1709">
        <f t="shared" si="1"/>
        <v>0</v>
      </c>
      <c r="K18" s="1710">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1703</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1703</v>
      </c>
      <c r="D67" s="1687">
        <f t="shared" ref="D67:K67" si="2">SUM(D65:D66)</f>
        <v>0</v>
      </c>
      <c r="E67" s="1687">
        <f t="shared" si="2"/>
        <v>0</v>
      </c>
      <c r="F67" s="1687">
        <f t="shared" si="2"/>
        <v>0</v>
      </c>
      <c r="G67" s="1687">
        <f t="shared" si="2"/>
        <v>0</v>
      </c>
      <c r="H67" s="1687">
        <f t="shared" si="2"/>
        <v>0</v>
      </c>
      <c r="I67" s="1687">
        <f t="shared" si="2"/>
        <v>0</v>
      </c>
      <c r="J67" s="1687">
        <f t="shared" si="2"/>
        <v>0</v>
      </c>
      <c r="K67" s="1687">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0</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221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7" t="s">
        <v>487</v>
      </c>
      <c r="B108" s="1711"/>
      <c r="C108" s="1706">
        <f>SUM(C95:C107)</f>
        <v>221</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1924</v>
      </c>
      <c r="D109" s="1714">
        <f t="shared" si="4"/>
        <v>0</v>
      </c>
      <c r="E109" s="1714">
        <f t="shared" si="4"/>
        <v>0</v>
      </c>
      <c r="F109" s="1714">
        <f t="shared" si="4"/>
        <v>0</v>
      </c>
      <c r="G109" s="1714">
        <f t="shared" si="4"/>
        <v>0</v>
      </c>
      <c r="H109" s="1714">
        <f t="shared" si="4"/>
        <v>0</v>
      </c>
      <c r="I109" s="1714">
        <f t="shared" si="4"/>
        <v>0</v>
      </c>
      <c r="J109" s="1714">
        <f t="shared" si="4"/>
        <v>0</v>
      </c>
      <c r="K109" s="1701">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241451</v>
      </c>
      <c r="D111" s="481"/>
      <c r="E111" s="561"/>
      <c r="F111" s="481"/>
      <c r="G111" s="481"/>
      <c r="H111" s="561"/>
      <c r="I111" s="468"/>
      <c r="J111" s="468"/>
      <c r="K111" s="468"/>
    </row>
    <row r="112" spans="1:12" ht="12.75" customHeight="1" x14ac:dyDescent="0.2">
      <c r="A112" s="463" t="s">
        <v>824</v>
      </c>
      <c r="B112" s="470">
        <v>2200</v>
      </c>
      <c r="C112" s="551">
        <v>98556</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340007</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0</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96423</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96423</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0</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1">
        <f t="shared" ref="C169:K169" si="6">SUM(C132,C141,C145,C146:C150,C155,C156:C167,C168)</f>
        <v>96423</v>
      </c>
      <c r="D169" s="1721">
        <f t="shared" si="6"/>
        <v>0</v>
      </c>
      <c r="E169" s="1721">
        <f t="shared" si="6"/>
        <v>0</v>
      </c>
      <c r="F169" s="1721">
        <f t="shared" si="6"/>
        <v>0</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96423</v>
      </c>
      <c r="D170" s="1714">
        <f t="shared" si="7"/>
        <v>0</v>
      </c>
      <c r="E170" s="1714">
        <f t="shared" si="7"/>
        <v>0</v>
      </c>
      <c r="F170" s="1714">
        <f t="shared" si="7"/>
        <v>0</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0</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0</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4498</v>
      </c>
      <c r="D220" s="466"/>
      <c r="E220" s="468"/>
      <c r="F220" s="468"/>
      <c r="G220" s="466"/>
      <c r="H220" s="468"/>
      <c r="I220" s="468"/>
      <c r="J220" s="468"/>
      <c r="K220" s="468"/>
    </row>
    <row r="221" spans="1:11" ht="12.75" customHeight="1" thickBot="1" x14ac:dyDescent="0.25">
      <c r="A221" s="1722" t="s">
        <v>1085</v>
      </c>
      <c r="B221" s="1723"/>
      <c r="C221" s="1706">
        <f>SUM(C219:C220)</f>
        <v>4498</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1935</v>
      </c>
      <c r="B261" s="470">
        <v>4981</v>
      </c>
      <c r="C261" s="575"/>
      <c r="D261" s="576"/>
      <c r="E261" s="468"/>
      <c r="F261" s="576"/>
      <c r="G261" s="576"/>
      <c r="H261" s="468"/>
      <c r="I261" s="468"/>
      <c r="J261" s="468"/>
      <c r="K261" s="468"/>
    </row>
    <row r="262" spans="1:11" ht="12.75" customHeight="1" thickTop="1" thickBot="1" x14ac:dyDescent="0.25">
      <c r="A262" s="1930"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4498</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4498</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442852</v>
      </c>
      <c r="D268" s="1714">
        <f t="shared" si="12"/>
        <v>0</v>
      </c>
      <c r="E268" s="1714">
        <f t="shared" si="12"/>
        <v>0</v>
      </c>
      <c r="F268" s="1714">
        <f t="shared" si="12"/>
        <v>0</v>
      </c>
      <c r="G268" s="1714">
        <f t="shared" si="12"/>
        <v>0</v>
      </c>
      <c r="H268" s="1714">
        <f t="shared" si="12"/>
        <v>0</v>
      </c>
      <c r="I268" s="1714">
        <f t="shared" si="12"/>
        <v>0</v>
      </c>
      <c r="J268" s="1714">
        <f t="shared" si="12"/>
        <v>0</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0">
        <f>SUM(C5:J5)</f>
        <v>0</v>
      </c>
      <c r="L5" s="466"/>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c r="D7" s="467"/>
      <c r="E7" s="467"/>
      <c r="F7" s="467"/>
      <c r="G7" s="467"/>
      <c r="H7" s="467"/>
      <c r="I7" s="467"/>
      <c r="J7" s="467"/>
      <c r="K7" s="1670">
        <f t="shared" ref="K7:K32" si="0">SUM(C7:J7)</f>
        <v>0</v>
      </c>
      <c r="L7" s="466"/>
    </row>
    <row r="8" spans="1:14" x14ac:dyDescent="0.2">
      <c r="A8" s="1504" t="s">
        <v>164</v>
      </c>
      <c r="B8" s="614">
        <v>1200</v>
      </c>
      <c r="C8" s="466"/>
      <c r="D8" s="466"/>
      <c r="E8" s="466"/>
      <c r="F8" s="466"/>
      <c r="G8" s="466"/>
      <c r="H8" s="466"/>
      <c r="I8" s="467"/>
      <c r="J8" s="467"/>
      <c r="K8" s="1670">
        <f t="shared" si="0"/>
        <v>0</v>
      </c>
      <c r="L8" s="466"/>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c r="D10" s="466"/>
      <c r="E10" s="466"/>
      <c r="F10" s="466"/>
      <c r="G10" s="466"/>
      <c r="H10" s="466"/>
      <c r="I10" s="467"/>
      <c r="J10" s="467"/>
      <c r="K10" s="1670">
        <f t="shared" si="0"/>
        <v>0</v>
      </c>
      <c r="L10" s="466"/>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c r="D13" s="466"/>
      <c r="E13" s="466"/>
      <c r="F13" s="466">
        <v>8052</v>
      </c>
      <c r="G13" s="466">
        <v>16414</v>
      </c>
      <c r="H13" s="466"/>
      <c r="I13" s="467"/>
      <c r="J13" s="467"/>
      <c r="K13" s="1670">
        <f t="shared" si="0"/>
        <v>24466</v>
      </c>
      <c r="L13" s="466">
        <v>15208</v>
      </c>
    </row>
    <row r="14" spans="1:14" x14ac:dyDescent="0.2">
      <c r="A14" s="1504" t="s">
        <v>963</v>
      </c>
      <c r="B14" s="614">
        <v>1500</v>
      </c>
      <c r="C14" s="466"/>
      <c r="D14" s="466"/>
      <c r="E14" s="466"/>
      <c r="F14" s="466"/>
      <c r="G14" s="466"/>
      <c r="H14" s="466"/>
      <c r="I14" s="467"/>
      <c r="J14" s="467"/>
      <c r="K14" s="1670">
        <f t="shared" si="0"/>
        <v>0</v>
      </c>
      <c r="L14" s="466"/>
    </row>
    <row r="15" spans="1:14" x14ac:dyDescent="0.2">
      <c r="A15" s="1504" t="s">
        <v>964</v>
      </c>
      <c r="B15" s="614">
        <v>1600</v>
      </c>
      <c r="C15" s="466"/>
      <c r="D15" s="466"/>
      <c r="E15" s="466"/>
      <c r="F15" s="466"/>
      <c r="G15" s="466"/>
      <c r="H15" s="466"/>
      <c r="I15" s="467"/>
      <c r="J15" s="467"/>
      <c r="K15" s="1670">
        <f t="shared" si="0"/>
        <v>0</v>
      </c>
      <c r="L15" s="466"/>
    </row>
    <row r="16" spans="1:14" x14ac:dyDescent="0.2">
      <c r="A16" s="1504" t="s">
        <v>987</v>
      </c>
      <c r="B16" s="614" t="s">
        <v>424</v>
      </c>
      <c r="C16" s="466"/>
      <c r="D16" s="466"/>
      <c r="E16" s="466"/>
      <c r="F16" s="466"/>
      <c r="G16" s="466"/>
      <c r="H16" s="466"/>
      <c r="I16" s="467"/>
      <c r="J16" s="467"/>
      <c r="K16" s="1670">
        <f t="shared" si="0"/>
        <v>0</v>
      </c>
      <c r="L16" s="466"/>
    </row>
    <row r="17" spans="1:12" x14ac:dyDescent="0.2">
      <c r="A17" s="1504" t="s">
        <v>724</v>
      </c>
      <c r="B17" s="614" t="s">
        <v>162</v>
      </c>
      <c r="C17" s="467"/>
      <c r="D17" s="467"/>
      <c r="E17" s="467"/>
      <c r="F17" s="467"/>
      <c r="G17" s="467"/>
      <c r="H17" s="467"/>
      <c r="I17" s="467"/>
      <c r="J17" s="467"/>
      <c r="K17" s="1670">
        <f t="shared" si="0"/>
        <v>0</v>
      </c>
      <c r="L17" s="466"/>
    </row>
    <row r="18" spans="1:12" x14ac:dyDescent="0.2">
      <c r="A18" s="1504" t="s">
        <v>1087</v>
      </c>
      <c r="B18" s="614">
        <v>1800</v>
      </c>
      <c r="C18" s="466"/>
      <c r="D18" s="466"/>
      <c r="E18" s="466"/>
      <c r="F18" s="466"/>
      <c r="G18" s="466"/>
      <c r="H18" s="466"/>
      <c r="I18" s="467"/>
      <c r="J18" s="467"/>
      <c r="K18" s="1670">
        <f t="shared" si="0"/>
        <v>0</v>
      </c>
      <c r="L18" s="466"/>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c r="I22" s="616"/>
      <c r="J22" s="477"/>
      <c r="K22" s="1670">
        <f t="shared" si="0"/>
        <v>0</v>
      </c>
      <c r="L22" s="471"/>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0</v>
      </c>
      <c r="D33" s="1669">
        <f t="shared" ref="D33:L33" si="1">SUM(D5:D32)</f>
        <v>0</v>
      </c>
      <c r="E33" s="1669">
        <f t="shared" si="1"/>
        <v>0</v>
      </c>
      <c r="F33" s="1669">
        <f t="shared" si="1"/>
        <v>8052</v>
      </c>
      <c r="G33" s="1669">
        <f t="shared" si="1"/>
        <v>16414</v>
      </c>
      <c r="H33" s="1669">
        <f t="shared" si="1"/>
        <v>0</v>
      </c>
      <c r="I33" s="1669">
        <f t="shared" si="1"/>
        <v>0</v>
      </c>
      <c r="J33" s="1669">
        <f t="shared" si="1"/>
        <v>0</v>
      </c>
      <c r="K33" s="1669">
        <f t="shared" si="1"/>
        <v>24466</v>
      </c>
      <c r="L33" s="1669">
        <f t="shared" si="1"/>
        <v>15208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0">
        <f t="shared" ref="K36:K41" si="2">SUM(C36:J36)</f>
        <v>0</v>
      </c>
      <c r="L36" s="466"/>
    </row>
    <row r="37" spans="1:14" x14ac:dyDescent="0.2">
      <c r="A37" s="1504" t="s">
        <v>1090</v>
      </c>
      <c r="B37" s="614">
        <v>2120</v>
      </c>
      <c r="C37" s="466"/>
      <c r="D37" s="466"/>
      <c r="E37" s="466"/>
      <c r="F37" s="466">
        <v>1746</v>
      </c>
      <c r="G37" s="466"/>
      <c r="H37" s="466"/>
      <c r="I37" s="467"/>
      <c r="J37" s="467"/>
      <c r="K37" s="1670">
        <f t="shared" si="2"/>
        <v>1746</v>
      </c>
      <c r="L37" s="466">
        <v>1700</v>
      </c>
    </row>
    <row r="38" spans="1:14" x14ac:dyDescent="0.2">
      <c r="A38" s="1504" t="s">
        <v>198</v>
      </c>
      <c r="B38" s="614">
        <v>2130</v>
      </c>
      <c r="C38" s="466"/>
      <c r="D38" s="466"/>
      <c r="E38" s="466"/>
      <c r="F38" s="466"/>
      <c r="G38" s="466"/>
      <c r="H38" s="466"/>
      <c r="I38" s="467"/>
      <c r="J38" s="467"/>
      <c r="K38" s="1670">
        <f t="shared" si="2"/>
        <v>0</v>
      </c>
      <c r="L38" s="466"/>
    </row>
    <row r="39" spans="1:14" x14ac:dyDescent="0.2">
      <c r="A39" s="1504" t="s">
        <v>199</v>
      </c>
      <c r="B39" s="614">
        <v>2140</v>
      </c>
      <c r="C39" s="466"/>
      <c r="D39" s="466"/>
      <c r="E39" s="466"/>
      <c r="F39" s="466"/>
      <c r="G39" s="466"/>
      <c r="H39" s="466"/>
      <c r="I39" s="467"/>
      <c r="J39" s="467"/>
      <c r="K39" s="1670">
        <f t="shared" si="2"/>
        <v>0</v>
      </c>
      <c r="L39" s="466"/>
    </row>
    <row r="40" spans="1:14" x14ac:dyDescent="0.2">
      <c r="A40" s="1504" t="s">
        <v>200</v>
      </c>
      <c r="B40" s="614">
        <v>2150</v>
      </c>
      <c r="C40" s="466"/>
      <c r="D40" s="466"/>
      <c r="E40" s="466"/>
      <c r="F40" s="466"/>
      <c r="G40" s="466"/>
      <c r="H40" s="466"/>
      <c r="I40" s="467"/>
      <c r="J40" s="467"/>
      <c r="K40" s="1670">
        <f t="shared" si="2"/>
        <v>0</v>
      </c>
      <c r="L40" s="466"/>
    </row>
    <row r="41" spans="1:14" x14ac:dyDescent="0.2">
      <c r="A41" s="1504"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0</v>
      </c>
      <c r="D42" s="1669">
        <f t="shared" ref="D42:L42" si="3">SUM(D36:D41)</f>
        <v>0</v>
      </c>
      <c r="E42" s="1669">
        <f t="shared" si="3"/>
        <v>0</v>
      </c>
      <c r="F42" s="1669">
        <f t="shared" si="3"/>
        <v>1746</v>
      </c>
      <c r="G42" s="1669">
        <f t="shared" si="3"/>
        <v>0</v>
      </c>
      <c r="H42" s="1669">
        <f t="shared" si="3"/>
        <v>0</v>
      </c>
      <c r="I42" s="1669">
        <f t="shared" si="3"/>
        <v>0</v>
      </c>
      <c r="J42" s="1669">
        <f t="shared" si="3"/>
        <v>0</v>
      </c>
      <c r="K42" s="1669">
        <f t="shared" si="3"/>
        <v>1746</v>
      </c>
      <c r="L42" s="1669">
        <f t="shared" si="3"/>
        <v>1700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15500</v>
      </c>
      <c r="D44" s="481">
        <v>2629</v>
      </c>
      <c r="E44" s="481">
        <v>3976</v>
      </c>
      <c r="F44" s="481"/>
      <c r="G44" s="481"/>
      <c r="H44" s="481"/>
      <c r="I44" s="467"/>
      <c r="J44" s="467"/>
      <c r="K44" s="1671">
        <f>SUM(C44:J44)</f>
        <v>22105</v>
      </c>
      <c r="L44" s="481">
        <v>36600</v>
      </c>
    </row>
    <row r="45" spans="1:14" x14ac:dyDescent="0.2">
      <c r="A45" s="1504" t="s">
        <v>815</v>
      </c>
      <c r="B45" s="614">
        <v>2220</v>
      </c>
      <c r="C45" s="466"/>
      <c r="D45" s="466"/>
      <c r="E45" s="466"/>
      <c r="F45" s="466"/>
      <c r="G45" s="466"/>
      <c r="H45" s="466"/>
      <c r="I45" s="467"/>
      <c r="J45" s="467"/>
      <c r="K45" s="1671">
        <f>SUM(C45:J45)</f>
        <v>0</v>
      </c>
      <c r="L45" s="466"/>
    </row>
    <row r="46" spans="1:14" x14ac:dyDescent="0.2">
      <c r="A46" s="1504"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15500</v>
      </c>
      <c r="D47" s="1669">
        <f t="shared" ref="D47:K47" si="4">SUM(D44:D46)</f>
        <v>2629</v>
      </c>
      <c r="E47" s="1669">
        <f t="shared" si="4"/>
        <v>3976</v>
      </c>
      <c r="F47" s="1669">
        <f t="shared" si="4"/>
        <v>0</v>
      </c>
      <c r="G47" s="1669">
        <f t="shared" si="4"/>
        <v>0</v>
      </c>
      <c r="H47" s="1669">
        <f t="shared" si="4"/>
        <v>0</v>
      </c>
      <c r="I47" s="1669">
        <f t="shared" si="4"/>
        <v>0</v>
      </c>
      <c r="J47" s="1669">
        <f t="shared" si="4"/>
        <v>0</v>
      </c>
      <c r="K47" s="1669">
        <f t="shared" si="4"/>
        <v>22105</v>
      </c>
      <c r="L47" s="1669">
        <f>SUM(L44:L46)</f>
        <v>36600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1">
        <f>SUM(C49:J49)</f>
        <v>0</v>
      </c>
      <c r="L49" s="481"/>
    </row>
    <row r="50" spans="1:14" x14ac:dyDescent="0.2">
      <c r="A50" s="1504" t="s">
        <v>818</v>
      </c>
      <c r="B50" s="614">
        <v>2320</v>
      </c>
      <c r="C50" s="466"/>
      <c r="D50" s="466"/>
      <c r="E50" s="466">
        <v>3806</v>
      </c>
      <c r="F50" s="466">
        <v>2769</v>
      </c>
      <c r="G50" s="466"/>
      <c r="H50" s="466"/>
      <c r="I50" s="467"/>
      <c r="J50" s="467"/>
      <c r="K50" s="1671">
        <f>SUM(C50:J50)</f>
        <v>6575</v>
      </c>
      <c r="L50" s="466">
        <v>63040</v>
      </c>
    </row>
    <row r="51" spans="1:14" x14ac:dyDescent="0.2">
      <c r="A51" s="1504" t="s">
        <v>42</v>
      </c>
      <c r="B51" s="614">
        <v>2330</v>
      </c>
      <c r="C51" s="466"/>
      <c r="D51" s="466"/>
      <c r="E51" s="466"/>
      <c r="F51" s="466"/>
      <c r="G51" s="466"/>
      <c r="H51" s="466"/>
      <c r="I51" s="467"/>
      <c r="J51" s="467"/>
      <c r="K51" s="1671">
        <f>SUM(C51:J51)</f>
        <v>0</v>
      </c>
      <c r="L51" s="466"/>
    </row>
    <row r="52" spans="1:14" ht="22.5" x14ac:dyDescent="0.2">
      <c r="A52" s="1505"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0</v>
      </c>
      <c r="D53" s="1669">
        <f t="shared" ref="D53:L53" si="5">SUM(D49:D52)</f>
        <v>0</v>
      </c>
      <c r="E53" s="1669">
        <f t="shared" si="5"/>
        <v>3806</v>
      </c>
      <c r="F53" s="1669">
        <f t="shared" si="5"/>
        <v>2769</v>
      </c>
      <c r="G53" s="1669">
        <f t="shared" si="5"/>
        <v>0</v>
      </c>
      <c r="H53" s="1669">
        <f t="shared" si="5"/>
        <v>0</v>
      </c>
      <c r="I53" s="1669">
        <f t="shared" si="5"/>
        <v>0</v>
      </c>
      <c r="J53" s="1669">
        <f t="shared" si="5"/>
        <v>0</v>
      </c>
      <c r="K53" s="1669">
        <f t="shared" si="5"/>
        <v>6575</v>
      </c>
      <c r="L53" s="1669">
        <f t="shared" si="5"/>
        <v>63040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1">
        <f>SUM(C55:J55)</f>
        <v>0</v>
      </c>
      <c r="L55" s="481"/>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0</v>
      </c>
      <c r="D57" s="1673">
        <f t="shared" ref="D57:K57" si="6">SUM(D55:D56)</f>
        <v>0</v>
      </c>
      <c r="E57" s="1673">
        <f t="shared" si="6"/>
        <v>0</v>
      </c>
      <c r="F57" s="1673">
        <f t="shared" si="6"/>
        <v>0</v>
      </c>
      <c r="G57" s="1673">
        <f t="shared" si="6"/>
        <v>0</v>
      </c>
      <c r="H57" s="1673">
        <f t="shared" si="6"/>
        <v>0</v>
      </c>
      <c r="I57" s="1673">
        <f t="shared" si="6"/>
        <v>0</v>
      </c>
      <c r="J57" s="1673">
        <f t="shared" si="6"/>
        <v>0</v>
      </c>
      <c r="K57" s="1673">
        <f t="shared" si="6"/>
        <v>0</v>
      </c>
      <c r="L57" s="1669">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1">
        <f t="shared" si="7"/>
        <v>0</v>
      </c>
      <c r="L60" s="466"/>
      <c r="M60" s="609"/>
      <c r="N60" s="609"/>
    </row>
    <row r="61" spans="1:14" s="343" customFormat="1" x14ac:dyDescent="0.2">
      <c r="A61" s="1504" t="s">
        <v>197</v>
      </c>
      <c r="B61" s="614">
        <v>2540</v>
      </c>
      <c r="C61" s="466"/>
      <c r="D61" s="466"/>
      <c r="E61" s="466"/>
      <c r="F61" s="466"/>
      <c r="G61" s="466"/>
      <c r="H61" s="466"/>
      <c r="I61" s="467"/>
      <c r="J61" s="467"/>
      <c r="K61" s="1671">
        <f t="shared" si="7"/>
        <v>0</v>
      </c>
      <c r="L61" s="466"/>
      <c r="M61" s="609"/>
      <c r="N61" s="609"/>
    </row>
    <row r="62" spans="1:14" s="343" customFormat="1" x14ac:dyDescent="0.2">
      <c r="A62" s="1504" t="s">
        <v>953</v>
      </c>
      <c r="B62" s="614">
        <v>2550</v>
      </c>
      <c r="C62" s="466"/>
      <c r="D62" s="466"/>
      <c r="E62" s="466"/>
      <c r="F62" s="466"/>
      <c r="G62" s="466"/>
      <c r="H62" s="466"/>
      <c r="I62" s="467"/>
      <c r="J62" s="467"/>
      <c r="K62" s="1671">
        <f t="shared" si="7"/>
        <v>0</v>
      </c>
      <c r="L62" s="466"/>
      <c r="M62" s="609"/>
      <c r="N62" s="609"/>
    </row>
    <row r="63" spans="1:14" s="609" customFormat="1" x14ac:dyDescent="0.2">
      <c r="A63" s="1504" t="s">
        <v>100</v>
      </c>
      <c r="B63" s="614">
        <v>2560</v>
      </c>
      <c r="C63" s="466"/>
      <c r="D63" s="466"/>
      <c r="E63" s="466"/>
      <c r="F63" s="466"/>
      <c r="G63" s="466"/>
      <c r="H63" s="466"/>
      <c r="I63" s="467"/>
      <c r="J63" s="467"/>
      <c r="K63" s="1671">
        <f t="shared" si="7"/>
        <v>0</v>
      </c>
      <c r="L63" s="466"/>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0</v>
      </c>
      <c r="D65" s="1669">
        <f t="shared" ref="D65:L65" si="8">SUM(D59:D64)</f>
        <v>0</v>
      </c>
      <c r="E65" s="1669">
        <f t="shared" si="8"/>
        <v>0</v>
      </c>
      <c r="F65" s="1669">
        <f t="shared" si="8"/>
        <v>0</v>
      </c>
      <c r="G65" s="1669">
        <f t="shared" si="8"/>
        <v>0</v>
      </c>
      <c r="H65" s="1669">
        <f t="shared" si="8"/>
        <v>0</v>
      </c>
      <c r="I65" s="1669">
        <f t="shared" si="8"/>
        <v>0</v>
      </c>
      <c r="J65" s="1669">
        <f t="shared" si="8"/>
        <v>0</v>
      </c>
      <c r="K65" s="1669">
        <f t="shared" si="8"/>
        <v>0</v>
      </c>
      <c r="L65" s="1669">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c r="D69" s="466"/>
      <c r="E69" s="466"/>
      <c r="F69" s="466"/>
      <c r="G69" s="466"/>
      <c r="H69" s="466"/>
      <c r="I69" s="467"/>
      <c r="J69" s="467"/>
      <c r="K69" s="1671">
        <f>SUM(C69:J69)</f>
        <v>0</v>
      </c>
      <c r="L69" s="466"/>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9">
        <f>SUM(C73:J73)</f>
        <v>0</v>
      </c>
      <c r="L73" s="576"/>
      <c r="M73" s="609"/>
      <c r="N73" s="609"/>
    </row>
    <row r="74" spans="1:14" ht="12.75" customHeight="1" thickTop="1" thickBot="1" x14ac:dyDescent="0.25">
      <c r="A74" s="1667" t="s">
        <v>811</v>
      </c>
      <c r="B74" s="1675">
        <v>2000</v>
      </c>
      <c r="C74" s="1676">
        <f>SUM(C42,C47,C53,C57,C65,C72,C73)</f>
        <v>15500</v>
      </c>
      <c r="D74" s="1676">
        <f t="shared" ref="D74:K74" si="10">SUM(D42,D47,D53,D57,D65,D72,D73)</f>
        <v>2629</v>
      </c>
      <c r="E74" s="1676">
        <f t="shared" si="10"/>
        <v>7782</v>
      </c>
      <c r="F74" s="1676">
        <f t="shared" si="10"/>
        <v>4515</v>
      </c>
      <c r="G74" s="1676">
        <f t="shared" si="10"/>
        <v>0</v>
      </c>
      <c r="H74" s="1676">
        <f t="shared" si="10"/>
        <v>0</v>
      </c>
      <c r="I74" s="1676">
        <f t="shared" si="10"/>
        <v>0</v>
      </c>
      <c r="J74" s="1676">
        <f t="shared" si="10"/>
        <v>0</v>
      </c>
      <c r="K74" s="1676">
        <f t="shared" si="10"/>
        <v>30426</v>
      </c>
      <c r="L74" s="1676">
        <f>SUM(L42,L47,L53,L57,L65,L72,L73)</f>
        <v>101340</v>
      </c>
    </row>
    <row r="75" spans="1:14" s="259" customFormat="1" ht="15.75" customHeight="1" thickTop="1" thickBot="1" x14ac:dyDescent="0.25">
      <c r="A75" s="1610" t="s">
        <v>47</v>
      </c>
      <c r="B75" s="1611" t="s">
        <v>575</v>
      </c>
      <c r="C75" s="573"/>
      <c r="D75" s="573"/>
      <c r="E75" s="573"/>
      <c r="F75" s="573"/>
      <c r="G75" s="573"/>
      <c r="H75" s="573"/>
      <c r="I75" s="531"/>
      <c r="J75" s="531"/>
      <c r="K75" s="1669">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v>2800</v>
      </c>
    </row>
    <row r="79" spans="1:14" x14ac:dyDescent="0.2">
      <c r="A79" s="1504" t="s">
        <v>304</v>
      </c>
      <c r="B79" s="614">
        <v>4120</v>
      </c>
      <c r="C79" s="616"/>
      <c r="D79" s="616"/>
      <c r="E79" s="466"/>
      <c r="F79" s="616"/>
      <c r="G79" s="616"/>
      <c r="H79" s="466"/>
      <c r="I79" s="477"/>
      <c r="J79" s="477"/>
      <c r="K79" s="1670">
        <f t="shared" si="11"/>
        <v>0</v>
      </c>
      <c r="L79" s="466"/>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c r="F81" s="616"/>
      <c r="G81" s="616"/>
      <c r="H81" s="466"/>
      <c r="I81" s="477"/>
      <c r="J81" s="477"/>
      <c r="K81" s="1670">
        <f t="shared" si="11"/>
        <v>0</v>
      </c>
      <c r="L81" s="466"/>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0</v>
      </c>
      <c r="F84" s="616"/>
      <c r="G84" s="616"/>
      <c r="H84" s="1669">
        <f>SUM(H78:H83)</f>
        <v>0</v>
      </c>
      <c r="I84" s="477"/>
      <c r="J84" s="477"/>
      <c r="K84" s="1669">
        <f>SUM(K78:K83)</f>
        <v>0</v>
      </c>
      <c r="L84" s="1669">
        <f>SUM(L78:L83)</f>
        <v>2800</v>
      </c>
    </row>
    <row r="85" spans="1:12" ht="12.75" customHeight="1" thickTop="1" thickBot="1" x14ac:dyDescent="0.25">
      <c r="A85" s="1511" t="s">
        <v>255</v>
      </c>
      <c r="B85" s="635">
        <v>4210</v>
      </c>
      <c r="C85" s="616"/>
      <c r="D85" s="616"/>
      <c r="E85" s="636"/>
      <c r="F85" s="616"/>
      <c r="G85" s="616"/>
      <c r="H85" s="535"/>
      <c r="I85" s="477"/>
      <c r="J85" s="477"/>
      <c r="K85" s="1676">
        <f>H85</f>
        <v>0</v>
      </c>
      <c r="L85" s="530"/>
    </row>
    <row r="86" spans="1:12" ht="12.75" customHeight="1" thickTop="1" thickBot="1" x14ac:dyDescent="0.25">
      <c r="A86" s="1512" t="s">
        <v>699</v>
      </c>
      <c r="B86" s="637">
        <v>4220</v>
      </c>
      <c r="C86" s="616"/>
      <c r="D86" s="616"/>
      <c r="E86" s="638"/>
      <c r="F86" s="616"/>
      <c r="G86" s="616"/>
      <c r="H86" s="467"/>
      <c r="I86" s="477"/>
      <c r="J86" s="477"/>
      <c r="K86" s="1676">
        <f t="shared" ref="K86:K98" si="12">H86</f>
        <v>0</v>
      </c>
      <c r="L86" s="530"/>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c r="I90" s="477"/>
      <c r="J90" s="477"/>
      <c r="K90" s="1676">
        <f t="shared" si="12"/>
        <v>0</v>
      </c>
      <c r="L90" s="530"/>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v>340007</v>
      </c>
      <c r="I96" s="477"/>
      <c r="J96" s="477"/>
      <c r="K96" s="1676">
        <f t="shared" si="12"/>
        <v>340007</v>
      </c>
      <c r="L96" s="530">
        <v>321210</v>
      </c>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340007</v>
      </c>
      <c r="I100" s="477"/>
      <c r="J100" s="477"/>
      <c r="K100" s="1676">
        <f>SUM(K93:K99)</f>
        <v>340007</v>
      </c>
      <c r="L100" s="1676">
        <f>SUM(L93:L99)</f>
        <v>321210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0</v>
      </c>
      <c r="F102" s="616"/>
      <c r="G102" s="616"/>
      <c r="H102" s="1676">
        <f>SUM(H84,H92,H100,H101)</f>
        <v>340007</v>
      </c>
      <c r="I102" s="477"/>
      <c r="J102" s="477"/>
      <c r="K102" s="1676">
        <f>SUM(K84,K92,K100,K101)</f>
        <v>340007</v>
      </c>
      <c r="L102" s="1676">
        <f>SUM(L84,L92,L100,L101)</f>
        <v>324010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15500</v>
      </c>
      <c r="D114" s="1669">
        <f t="shared" ref="D114:K114" si="13">SUM(D33,D74,D75,D102,D112,D113)</f>
        <v>2629</v>
      </c>
      <c r="E114" s="1669">
        <f t="shared" si="13"/>
        <v>7782</v>
      </c>
      <c r="F114" s="1669">
        <f t="shared" si="13"/>
        <v>12567</v>
      </c>
      <c r="G114" s="1669">
        <f t="shared" si="13"/>
        <v>16414</v>
      </c>
      <c r="H114" s="1669">
        <f>SUM(H33,H74,H75,H102,H112,H113)</f>
        <v>340007</v>
      </c>
      <c r="I114" s="1669">
        <f t="shared" si="13"/>
        <v>0</v>
      </c>
      <c r="J114" s="1669">
        <f t="shared" si="13"/>
        <v>0</v>
      </c>
      <c r="K114" s="1669">
        <f t="shared" si="13"/>
        <v>394899</v>
      </c>
      <c r="L114" s="1669">
        <f>SUM(L33,L74,L75,L102,L112,L113)</f>
        <v>440558</v>
      </c>
    </row>
    <row r="115" spans="1:14" ht="13.5" thickTop="1" x14ac:dyDescent="0.2">
      <c r="A115" s="2155" t="s">
        <v>996</v>
      </c>
      <c r="B115" s="2156"/>
      <c r="C115" s="618"/>
      <c r="D115" s="618"/>
      <c r="E115" s="618"/>
      <c r="F115" s="618"/>
      <c r="G115" s="618"/>
      <c r="H115" s="618"/>
      <c r="I115" s="618"/>
      <c r="J115" s="618"/>
      <c r="K115" s="1683">
        <f>'Revenues 9-14'!C268-'Expenditures 15-22'!K114</f>
        <v>47953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c r="F123" s="466"/>
      <c r="G123" s="466"/>
      <c r="H123" s="466"/>
      <c r="I123" s="467"/>
      <c r="J123" s="467"/>
      <c r="K123" s="1669">
        <f>SUM(C123:J123)</f>
        <v>0</v>
      </c>
      <c r="L123" s="466"/>
    </row>
    <row r="124" spans="1:14" ht="14.25" thickTop="1" thickBot="1" x14ac:dyDescent="0.25">
      <c r="A124" s="1504" t="s">
        <v>197</v>
      </c>
      <c r="B124" s="614">
        <v>2540</v>
      </c>
      <c r="C124" s="466"/>
      <c r="D124" s="466"/>
      <c r="E124" s="466"/>
      <c r="F124" s="466"/>
      <c r="G124" s="466"/>
      <c r="H124" s="466"/>
      <c r="I124" s="467"/>
      <c r="J124" s="467"/>
      <c r="K124" s="1669">
        <f>SUM(C124:J124)</f>
        <v>0</v>
      </c>
      <c r="L124" s="466"/>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0</v>
      </c>
      <c r="D127" s="1669">
        <f t="shared" ref="D127:L127" si="14">SUM(D122:D126)</f>
        <v>0</v>
      </c>
      <c r="E127" s="1669">
        <f t="shared" si="14"/>
        <v>0</v>
      </c>
      <c r="F127" s="1669">
        <f t="shared" si="14"/>
        <v>0</v>
      </c>
      <c r="G127" s="1669">
        <f t="shared" si="14"/>
        <v>0</v>
      </c>
      <c r="H127" s="1669">
        <f t="shared" si="14"/>
        <v>0</v>
      </c>
      <c r="I127" s="1669">
        <f t="shared" si="14"/>
        <v>0</v>
      </c>
      <c r="J127" s="1669">
        <f t="shared" si="14"/>
        <v>0</v>
      </c>
      <c r="K127" s="1669">
        <f t="shared" si="14"/>
        <v>0</v>
      </c>
      <c r="L127" s="1669">
        <f t="shared" si="14"/>
        <v>0</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0</v>
      </c>
      <c r="D129" s="1676">
        <f t="shared" ref="D129:L129" si="15">SUM(D120,D127,D128)</f>
        <v>0</v>
      </c>
      <c r="E129" s="1676">
        <f t="shared" si="15"/>
        <v>0</v>
      </c>
      <c r="F129" s="1676">
        <f t="shared" si="15"/>
        <v>0</v>
      </c>
      <c r="G129" s="1676">
        <f t="shared" si="15"/>
        <v>0</v>
      </c>
      <c r="H129" s="1676">
        <f t="shared" si="15"/>
        <v>0</v>
      </c>
      <c r="I129" s="1676">
        <f t="shared" si="15"/>
        <v>0</v>
      </c>
      <c r="J129" s="1676">
        <f t="shared" si="15"/>
        <v>0</v>
      </c>
      <c r="K129" s="1676">
        <f t="shared" si="15"/>
        <v>0</v>
      </c>
      <c r="L129" s="1676">
        <f t="shared" si="15"/>
        <v>0</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9" t="s">
        <v>1844</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69">
        <f>SUM(C129,C130,C139,C149,C150)</f>
        <v>0</v>
      </c>
      <c r="D151" s="1669">
        <f t="shared" ref="D151:K151" si="16">SUM(D129,D130,D139,D149,D150)</f>
        <v>0</v>
      </c>
      <c r="E151" s="1669">
        <f t="shared" si="16"/>
        <v>0</v>
      </c>
      <c r="F151" s="1669">
        <f t="shared" si="16"/>
        <v>0</v>
      </c>
      <c r="G151" s="1669">
        <f t="shared" si="16"/>
        <v>0</v>
      </c>
      <c r="H151" s="1669">
        <f t="shared" si="16"/>
        <v>0</v>
      </c>
      <c r="I151" s="1669">
        <f t="shared" si="16"/>
        <v>0</v>
      </c>
      <c r="J151" s="1669">
        <f t="shared" si="16"/>
        <v>0</v>
      </c>
      <c r="K151" s="1669">
        <f t="shared" si="16"/>
        <v>0</v>
      </c>
      <c r="L151" s="1669">
        <f>SUM(L129,L130,L139,L149,L150)</f>
        <v>0</v>
      </c>
    </row>
    <row r="152" spans="1:14" ht="12.75" customHeight="1" thickTop="1" x14ac:dyDescent="0.2">
      <c r="A152" s="2175" t="s">
        <v>1178</v>
      </c>
      <c r="B152" s="2176"/>
      <c r="C152" s="618"/>
      <c r="D152" s="618"/>
      <c r="E152" s="618"/>
      <c r="F152" s="618"/>
      <c r="G152" s="618"/>
      <c r="H152" s="618"/>
      <c r="I152" s="618"/>
      <c r="J152" s="616"/>
      <c r="K152" s="1683">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0"/>
      <c r="I155" s="616"/>
      <c r="J155" s="616"/>
      <c r="K155" s="1824"/>
      <c r="L155" s="1840"/>
      <c r="M155" s="619"/>
      <c r="N155" s="619"/>
    </row>
    <row r="156" spans="1:14" s="620" customFormat="1" ht="15.75" customHeight="1" thickTop="1" x14ac:dyDescent="0.2">
      <c r="A156" s="1821" t="s">
        <v>1845</v>
      </c>
      <c r="B156" s="1822"/>
      <c r="C156" s="616"/>
      <c r="D156" s="616"/>
      <c r="E156" s="616"/>
      <c r="F156" s="616"/>
      <c r="G156" s="616"/>
      <c r="H156" s="1841"/>
      <c r="I156" s="616"/>
      <c r="J156" s="616"/>
      <c r="K156" s="1823"/>
      <c r="L156" s="1841"/>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c r="I169" s="616"/>
      <c r="J169" s="616"/>
      <c r="K169" s="1670">
        <f>SUM(C169:H169)</f>
        <v>0</v>
      </c>
      <c r="L169" s="656"/>
    </row>
    <row r="170" spans="1:14" ht="33.75" customHeight="1" x14ac:dyDescent="0.2">
      <c r="A170" s="669" t="s">
        <v>1670</v>
      </c>
      <c r="B170" s="671" t="s">
        <v>31</v>
      </c>
      <c r="C170" s="616"/>
      <c r="D170" s="616"/>
      <c r="E170" s="616"/>
      <c r="F170" s="616"/>
      <c r="G170" s="616"/>
      <c r="H170" s="569"/>
      <c r="I170" s="616"/>
      <c r="J170" s="616"/>
      <c r="K170" s="1670">
        <f>SUM(C170:J170)</f>
        <v>0</v>
      </c>
      <c r="L170" s="569"/>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0</v>
      </c>
      <c r="I172" s="638"/>
      <c r="J172" s="616"/>
      <c r="K172" s="1676">
        <f>SUM(K168,K169,K170,K171)</f>
        <v>0</v>
      </c>
      <c r="L172" s="1676">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0</v>
      </c>
      <c r="I174" s="638"/>
      <c r="J174" s="616"/>
      <c r="K174" s="1676">
        <f>SUM(K160,K172,K173)</f>
        <v>0</v>
      </c>
      <c r="L174" s="1676">
        <f>SUM(L160,L172,L173)</f>
        <v>0</v>
      </c>
    </row>
    <row r="175" spans="1:14" ht="13.5" thickTop="1" x14ac:dyDescent="0.2">
      <c r="A175" s="2155" t="s">
        <v>996</v>
      </c>
      <c r="B175" s="2156"/>
      <c r="C175" s="616"/>
      <c r="D175" s="616"/>
      <c r="E175" s="616"/>
      <c r="F175" s="616"/>
      <c r="G175" s="616"/>
      <c r="H175" s="618"/>
      <c r="I175" s="616"/>
      <c r="J175" s="616"/>
      <c r="K175" s="1683">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0">
        <f>SUM(C182:J182)</f>
        <v>0</v>
      </c>
      <c r="L182" s="466"/>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0</v>
      </c>
      <c r="D184" s="1676">
        <f t="shared" ref="D184:J184" si="17">SUM(D180,D182,D183)</f>
        <v>0</v>
      </c>
      <c r="E184" s="1676">
        <f t="shared" si="17"/>
        <v>0</v>
      </c>
      <c r="F184" s="1676">
        <f t="shared" si="17"/>
        <v>0</v>
      </c>
      <c r="G184" s="1676">
        <f t="shared" si="17"/>
        <v>0</v>
      </c>
      <c r="H184" s="1676">
        <f t="shared" si="17"/>
        <v>0</v>
      </c>
      <c r="I184" s="1676">
        <f t="shared" si="17"/>
        <v>0</v>
      </c>
      <c r="J184" s="1676">
        <f t="shared" si="17"/>
        <v>0</v>
      </c>
      <c r="K184" s="1676">
        <f>SUM(K180,K182,K183)</f>
        <v>0</v>
      </c>
      <c r="L184" s="1676">
        <f>SUM(L180, L182:L183)</f>
        <v>0</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0</v>
      </c>
      <c r="D210" s="1669">
        <f>SUM(D184,D185)</f>
        <v>0</v>
      </c>
      <c r="E210" s="1669">
        <f>SUM(E184,E185,E196)</f>
        <v>0</v>
      </c>
      <c r="F210" s="1669">
        <f>SUM(F184,F185)</f>
        <v>0</v>
      </c>
      <c r="G210" s="1669">
        <f>SUM(G184,G185)</f>
        <v>0</v>
      </c>
      <c r="H210" s="1669">
        <f>SUM(H184,H185,H196,H208,H209)</f>
        <v>0</v>
      </c>
      <c r="I210" s="1669">
        <f>SUM(I184,I185)</f>
        <v>0</v>
      </c>
      <c r="J210" s="1669">
        <f>SUM(J184,J185)</f>
        <v>0</v>
      </c>
      <c r="K210" s="1670">
        <f>SUM(K184,K185,K196,K208,K209)</f>
        <v>0</v>
      </c>
      <c r="L210" s="1669">
        <f>SUM(L184,L185,L196,L208,L209)</f>
        <v>0</v>
      </c>
    </row>
    <row r="211" spans="1:14" ht="13.5" thickTop="1" x14ac:dyDescent="0.2">
      <c r="A211" s="2155" t="s">
        <v>996</v>
      </c>
      <c r="B211" s="2156"/>
      <c r="C211" s="618"/>
      <c r="D211" s="618"/>
      <c r="E211" s="618"/>
      <c r="F211" s="618"/>
      <c r="G211" s="618"/>
      <c r="H211" s="618"/>
      <c r="I211" s="616"/>
      <c r="J211" s="616"/>
      <c r="K211" s="1683">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0">
        <f>D215</f>
        <v>0</v>
      </c>
      <c r="L215" s="466"/>
    </row>
    <row r="216" spans="1:14" x14ac:dyDescent="0.2">
      <c r="A216" s="1504" t="s">
        <v>163</v>
      </c>
      <c r="B216" s="614" t="s">
        <v>967</v>
      </c>
      <c r="C216" s="616"/>
      <c r="D216" s="467"/>
      <c r="E216" s="616"/>
      <c r="F216" s="616"/>
      <c r="G216" s="616"/>
      <c r="H216" s="616"/>
      <c r="I216" s="616"/>
      <c r="J216" s="616"/>
      <c r="K216" s="1670">
        <f t="shared" ref="K216:K228" si="19">D216</f>
        <v>0</v>
      </c>
      <c r="L216" s="466"/>
    </row>
    <row r="217" spans="1:14" x14ac:dyDescent="0.2">
      <c r="A217" s="1504" t="s">
        <v>164</v>
      </c>
      <c r="B217" s="614">
        <v>1200</v>
      </c>
      <c r="C217" s="616"/>
      <c r="D217" s="466"/>
      <c r="E217" s="616"/>
      <c r="F217" s="616"/>
      <c r="G217" s="616"/>
      <c r="H217" s="616"/>
      <c r="I217" s="616"/>
      <c r="J217" s="616"/>
      <c r="K217" s="1670">
        <f t="shared" si="19"/>
        <v>0</v>
      </c>
      <c r="L217" s="466"/>
    </row>
    <row r="218" spans="1:14" x14ac:dyDescent="0.2">
      <c r="A218" s="1504" t="s">
        <v>278</v>
      </c>
      <c r="B218" s="614" t="s">
        <v>968</v>
      </c>
      <c r="C218" s="616"/>
      <c r="D218" s="467"/>
      <c r="E218" s="616"/>
      <c r="F218" s="616"/>
      <c r="G218" s="616"/>
      <c r="H218" s="616"/>
      <c r="I218" s="616"/>
      <c r="J218" s="616"/>
      <c r="K218" s="1670">
        <f t="shared" si="19"/>
        <v>0</v>
      </c>
      <c r="L218" s="466"/>
    </row>
    <row r="219" spans="1:14" x14ac:dyDescent="0.2">
      <c r="A219" s="1504" t="s">
        <v>279</v>
      </c>
      <c r="B219" s="614">
        <v>1250</v>
      </c>
      <c r="C219" s="616"/>
      <c r="D219" s="466"/>
      <c r="E219" s="616"/>
      <c r="F219" s="616"/>
      <c r="G219" s="616"/>
      <c r="H219" s="616"/>
      <c r="I219" s="616"/>
      <c r="J219" s="616"/>
      <c r="K219" s="1670">
        <f t="shared" si="19"/>
        <v>0</v>
      </c>
      <c r="L219" s="466"/>
    </row>
    <row r="220" spans="1:14" x14ac:dyDescent="0.2">
      <c r="A220" s="1504" t="s">
        <v>280</v>
      </c>
      <c r="B220" s="614" t="s">
        <v>161</v>
      </c>
      <c r="C220" s="616"/>
      <c r="D220" s="467"/>
      <c r="E220" s="616"/>
      <c r="F220" s="616"/>
      <c r="G220" s="616"/>
      <c r="H220" s="616"/>
      <c r="I220" s="616"/>
      <c r="J220" s="616"/>
      <c r="K220" s="1670">
        <f t="shared" si="19"/>
        <v>0</v>
      </c>
      <c r="L220" s="466"/>
    </row>
    <row r="221" spans="1:14" x14ac:dyDescent="0.2">
      <c r="A221" s="1504" t="s">
        <v>962</v>
      </c>
      <c r="B221" s="614">
        <v>1300</v>
      </c>
      <c r="C221" s="616"/>
      <c r="D221" s="466"/>
      <c r="E221" s="616"/>
      <c r="F221" s="616"/>
      <c r="G221" s="616"/>
      <c r="H221" s="616"/>
      <c r="I221" s="616"/>
      <c r="J221" s="616"/>
      <c r="K221" s="1670">
        <f t="shared" si="19"/>
        <v>0</v>
      </c>
      <c r="L221" s="466"/>
    </row>
    <row r="222" spans="1:14" x14ac:dyDescent="0.2">
      <c r="A222" s="1504" t="s">
        <v>723</v>
      </c>
      <c r="B222" s="614">
        <v>1400</v>
      </c>
      <c r="C222" s="616"/>
      <c r="D222" s="466"/>
      <c r="E222" s="616"/>
      <c r="F222" s="616"/>
      <c r="G222" s="616"/>
      <c r="H222" s="616"/>
      <c r="I222" s="616"/>
      <c r="J222" s="616"/>
      <c r="K222" s="1670">
        <f t="shared" si="19"/>
        <v>0</v>
      </c>
      <c r="L222" s="466"/>
    </row>
    <row r="223" spans="1:14" x14ac:dyDescent="0.2">
      <c r="A223" s="1504" t="s">
        <v>963</v>
      </c>
      <c r="B223" s="614">
        <v>1500</v>
      </c>
      <c r="C223" s="616"/>
      <c r="D223" s="466"/>
      <c r="E223" s="616"/>
      <c r="F223" s="616"/>
      <c r="G223" s="616"/>
      <c r="H223" s="616"/>
      <c r="I223" s="616"/>
      <c r="J223" s="616"/>
      <c r="K223" s="1670">
        <f t="shared" si="19"/>
        <v>0</v>
      </c>
      <c r="L223" s="466"/>
    </row>
    <row r="224" spans="1:14" x14ac:dyDescent="0.2">
      <c r="A224" s="1504" t="s">
        <v>964</v>
      </c>
      <c r="B224" s="614">
        <v>1600</v>
      </c>
      <c r="C224" s="616"/>
      <c r="D224" s="466"/>
      <c r="E224" s="616"/>
      <c r="F224" s="616"/>
      <c r="G224" s="616"/>
      <c r="H224" s="616"/>
      <c r="I224" s="616"/>
      <c r="J224" s="616"/>
      <c r="K224" s="1670">
        <f t="shared" si="19"/>
        <v>0</v>
      </c>
      <c r="L224" s="466"/>
    </row>
    <row r="225" spans="1:12" x14ac:dyDescent="0.2">
      <c r="A225" s="1504" t="s">
        <v>987</v>
      </c>
      <c r="B225" s="614">
        <v>1650</v>
      </c>
      <c r="C225" s="616"/>
      <c r="D225" s="466"/>
      <c r="E225" s="616"/>
      <c r="F225" s="616"/>
      <c r="G225" s="616"/>
      <c r="H225" s="616"/>
      <c r="I225" s="616"/>
      <c r="J225" s="616"/>
      <c r="K225" s="1670">
        <f t="shared" si="19"/>
        <v>0</v>
      </c>
      <c r="L225" s="466"/>
    </row>
    <row r="226" spans="1:12" x14ac:dyDescent="0.2">
      <c r="A226" s="1504" t="s">
        <v>724</v>
      </c>
      <c r="B226" s="614" t="s">
        <v>162</v>
      </c>
      <c r="C226" s="616"/>
      <c r="D226" s="467"/>
      <c r="E226" s="616"/>
      <c r="F226" s="616"/>
      <c r="G226" s="616"/>
      <c r="H226" s="616"/>
      <c r="I226" s="616"/>
      <c r="J226" s="616"/>
      <c r="K226" s="1670">
        <f t="shared" si="19"/>
        <v>0</v>
      </c>
      <c r="L226" s="466"/>
    </row>
    <row r="227" spans="1:12" x14ac:dyDescent="0.2">
      <c r="A227" s="1504" t="s">
        <v>1087</v>
      </c>
      <c r="B227" s="614">
        <v>1800</v>
      </c>
      <c r="C227" s="616"/>
      <c r="D227" s="466"/>
      <c r="E227" s="616"/>
      <c r="F227" s="616"/>
      <c r="G227" s="616"/>
      <c r="H227" s="616"/>
      <c r="I227" s="616"/>
      <c r="J227" s="616"/>
      <c r="K227" s="1670">
        <f t="shared" si="19"/>
        <v>0</v>
      </c>
      <c r="L227" s="466"/>
    </row>
    <row r="228" spans="1:12" x14ac:dyDescent="0.2">
      <c r="A228" s="1504"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0</v>
      </c>
      <c r="E229" s="616"/>
      <c r="F229" s="616"/>
      <c r="G229" s="616"/>
      <c r="H229" s="616"/>
      <c r="I229" s="616"/>
      <c r="J229" s="616"/>
      <c r="K229" s="1669">
        <f>SUM(K215:K228)</f>
        <v>0</v>
      </c>
      <c r="L229" s="1669">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0">
        <f t="shared" ref="K232:K237" si="20">D232</f>
        <v>0</v>
      </c>
      <c r="L232" s="466"/>
    </row>
    <row r="233" spans="1:12" x14ac:dyDescent="0.2">
      <c r="A233" s="1504" t="s">
        <v>1090</v>
      </c>
      <c r="B233" s="614">
        <v>2120</v>
      </c>
      <c r="C233" s="616"/>
      <c r="D233" s="466"/>
      <c r="E233" s="616"/>
      <c r="F233" s="616"/>
      <c r="G233" s="616"/>
      <c r="H233" s="616"/>
      <c r="I233" s="616"/>
      <c r="J233" s="616"/>
      <c r="K233" s="1670">
        <f t="shared" si="20"/>
        <v>0</v>
      </c>
      <c r="L233" s="466"/>
    </row>
    <row r="234" spans="1:12" x14ac:dyDescent="0.2">
      <c r="A234" s="1504" t="s">
        <v>198</v>
      </c>
      <c r="B234" s="614">
        <v>2130</v>
      </c>
      <c r="C234" s="616"/>
      <c r="D234" s="466"/>
      <c r="E234" s="616"/>
      <c r="F234" s="616"/>
      <c r="G234" s="616"/>
      <c r="H234" s="616"/>
      <c r="I234" s="616"/>
      <c r="J234" s="616"/>
      <c r="K234" s="1670">
        <f t="shared" si="20"/>
        <v>0</v>
      </c>
      <c r="L234" s="466"/>
    </row>
    <row r="235" spans="1:12" x14ac:dyDescent="0.2">
      <c r="A235" s="1504" t="s">
        <v>199</v>
      </c>
      <c r="B235" s="614">
        <v>2140</v>
      </c>
      <c r="C235" s="616"/>
      <c r="D235" s="466"/>
      <c r="E235" s="616"/>
      <c r="F235" s="616"/>
      <c r="G235" s="616"/>
      <c r="H235" s="616"/>
      <c r="I235" s="616"/>
      <c r="J235" s="616"/>
      <c r="K235" s="1670">
        <f t="shared" si="20"/>
        <v>0</v>
      </c>
      <c r="L235" s="466"/>
    </row>
    <row r="236" spans="1:12" x14ac:dyDescent="0.2">
      <c r="A236" s="1504" t="s">
        <v>200</v>
      </c>
      <c r="B236" s="614">
        <v>2150</v>
      </c>
      <c r="C236" s="616"/>
      <c r="D236" s="466"/>
      <c r="E236" s="616"/>
      <c r="F236" s="616"/>
      <c r="G236" s="616"/>
      <c r="H236" s="616"/>
      <c r="I236" s="616"/>
      <c r="J236" s="616"/>
      <c r="K236" s="1670">
        <f t="shared" si="20"/>
        <v>0</v>
      </c>
      <c r="L236" s="466"/>
    </row>
    <row r="237" spans="1:12" x14ac:dyDescent="0.2">
      <c r="A237" s="1504"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0</v>
      </c>
      <c r="E238" s="616"/>
      <c r="F238" s="616"/>
      <c r="G238" s="616"/>
      <c r="H238" s="616"/>
      <c r="I238" s="616"/>
      <c r="J238" s="616"/>
      <c r="K238" s="1669">
        <f>SUM(K232:K237)</f>
        <v>0</v>
      </c>
      <c r="L238" s="1669">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1">
        <f>D240</f>
        <v>0</v>
      </c>
      <c r="L240" s="481"/>
    </row>
    <row r="241" spans="1:12" x14ac:dyDescent="0.2">
      <c r="A241" s="1504" t="s">
        <v>815</v>
      </c>
      <c r="B241" s="614">
        <v>2220</v>
      </c>
      <c r="C241" s="616"/>
      <c r="D241" s="466"/>
      <c r="E241" s="616"/>
      <c r="F241" s="616"/>
      <c r="G241" s="616"/>
      <c r="H241" s="616"/>
      <c r="I241" s="616"/>
      <c r="J241" s="616"/>
      <c r="K241" s="1671">
        <f>D241</f>
        <v>0</v>
      </c>
      <c r="L241" s="466"/>
    </row>
    <row r="242" spans="1:12" x14ac:dyDescent="0.2">
      <c r="A242" s="1504"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0</v>
      </c>
      <c r="E243" s="616"/>
      <c r="F243" s="616"/>
      <c r="G243" s="616"/>
      <c r="H243" s="616"/>
      <c r="I243" s="616"/>
      <c r="J243" s="616"/>
      <c r="K243" s="1669">
        <f>SUM(K240:K242)</f>
        <v>0</v>
      </c>
      <c r="L243" s="1669">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row>
    <row r="246" spans="1:12" x14ac:dyDescent="0.2">
      <c r="A246" s="1504" t="s">
        <v>818</v>
      </c>
      <c r="B246" s="614">
        <v>2320</v>
      </c>
      <c r="C246" s="616"/>
      <c r="D246" s="466"/>
      <c r="E246" s="616"/>
      <c r="F246" s="616"/>
      <c r="G246" s="616"/>
      <c r="H246" s="616"/>
      <c r="I246" s="616"/>
      <c r="J246" s="616"/>
      <c r="K246" s="1671">
        <f t="shared" ref="K246:K256" si="21">D246</f>
        <v>0</v>
      </c>
      <c r="L246" s="466"/>
    </row>
    <row r="247" spans="1:12" x14ac:dyDescent="0.2">
      <c r="A247" s="1504" t="s">
        <v>819</v>
      </c>
      <c r="B247" s="614">
        <v>2330</v>
      </c>
      <c r="C247" s="616"/>
      <c r="D247" s="466"/>
      <c r="E247" s="616"/>
      <c r="F247" s="616"/>
      <c r="G247" s="616"/>
      <c r="H247" s="616"/>
      <c r="I247" s="616"/>
      <c r="J247" s="616"/>
      <c r="K247" s="1671">
        <f t="shared" si="21"/>
        <v>0</v>
      </c>
      <c r="L247" s="466"/>
    </row>
    <row r="248" spans="1:12" x14ac:dyDescent="0.2">
      <c r="A248" s="1505" t="s">
        <v>299</v>
      </c>
      <c r="B248" s="602" t="s">
        <v>281</v>
      </c>
      <c r="C248" s="616"/>
      <c r="D248" s="474"/>
      <c r="E248" s="616"/>
      <c r="F248" s="616"/>
      <c r="G248" s="616"/>
      <c r="H248" s="616"/>
      <c r="I248" s="616"/>
      <c r="J248" s="616"/>
      <c r="K248" s="1671">
        <f t="shared" si="21"/>
        <v>0</v>
      </c>
      <c r="L248" s="466"/>
    </row>
    <row r="249" spans="1:12" x14ac:dyDescent="0.2">
      <c r="A249" s="1506" t="s">
        <v>1805</v>
      </c>
      <c r="B249" s="683" t="s">
        <v>282</v>
      </c>
      <c r="C249" s="616"/>
      <c r="D249" s="474"/>
      <c r="E249" s="616"/>
      <c r="F249" s="616"/>
      <c r="G249" s="616"/>
      <c r="H249" s="616"/>
      <c r="I249" s="616"/>
      <c r="J249" s="616"/>
      <c r="K249" s="1671">
        <f t="shared" si="21"/>
        <v>0</v>
      </c>
      <c r="L249" s="466"/>
    </row>
    <row r="250" spans="1:12" x14ac:dyDescent="0.2">
      <c r="A250" s="1505" t="s">
        <v>1806</v>
      </c>
      <c r="B250" s="602" t="s">
        <v>283</v>
      </c>
      <c r="C250" s="616"/>
      <c r="D250" s="474"/>
      <c r="E250" s="616"/>
      <c r="F250" s="616"/>
      <c r="G250" s="616"/>
      <c r="H250" s="616"/>
      <c r="I250" s="616"/>
      <c r="J250" s="616"/>
      <c r="K250" s="1671">
        <f t="shared" si="21"/>
        <v>0</v>
      </c>
      <c r="L250" s="466"/>
    </row>
    <row r="251" spans="1:12" x14ac:dyDescent="0.2">
      <c r="A251" s="1505" t="s">
        <v>238</v>
      </c>
      <c r="B251" s="602" t="s">
        <v>284</v>
      </c>
      <c r="C251" s="616"/>
      <c r="D251" s="474"/>
      <c r="E251" s="616"/>
      <c r="F251" s="616"/>
      <c r="G251" s="616"/>
      <c r="H251" s="616"/>
      <c r="I251" s="616"/>
      <c r="J251" s="616"/>
      <c r="K251" s="1671">
        <f t="shared" si="21"/>
        <v>0</v>
      </c>
      <c r="L251" s="466"/>
    </row>
    <row r="252" spans="1:12" x14ac:dyDescent="0.2">
      <c r="A252" s="1505" t="s">
        <v>702</v>
      </c>
      <c r="B252" s="602" t="s">
        <v>285</v>
      </c>
      <c r="C252" s="616"/>
      <c r="D252" s="474"/>
      <c r="E252" s="616"/>
      <c r="F252" s="616"/>
      <c r="G252" s="616"/>
      <c r="H252" s="616"/>
      <c r="I252" s="616"/>
      <c r="J252" s="616"/>
      <c r="K252" s="1671">
        <f t="shared" si="21"/>
        <v>0</v>
      </c>
      <c r="L252" s="466"/>
    </row>
    <row r="253" spans="1:12" x14ac:dyDescent="0.2">
      <c r="A253" s="1505" t="s">
        <v>239</v>
      </c>
      <c r="B253" s="602" t="s">
        <v>286</v>
      </c>
      <c r="C253" s="616"/>
      <c r="D253" s="474"/>
      <c r="E253" s="616"/>
      <c r="F253" s="616"/>
      <c r="G253" s="616"/>
      <c r="H253" s="616"/>
      <c r="I253" s="616"/>
      <c r="J253" s="616"/>
      <c r="K253" s="1671">
        <f t="shared" si="21"/>
        <v>0</v>
      </c>
      <c r="L253" s="466"/>
    </row>
    <row r="254" spans="1:12" ht="22.5" x14ac:dyDescent="0.2">
      <c r="A254" s="1505" t="s">
        <v>1029</v>
      </c>
      <c r="B254" s="683" t="s">
        <v>287</v>
      </c>
      <c r="C254" s="616"/>
      <c r="D254" s="474"/>
      <c r="E254" s="616"/>
      <c r="F254" s="616"/>
      <c r="G254" s="616"/>
      <c r="H254" s="616"/>
      <c r="I254" s="616"/>
      <c r="J254" s="616"/>
      <c r="K254" s="1671">
        <f t="shared" si="21"/>
        <v>0</v>
      </c>
      <c r="L254" s="466"/>
    </row>
    <row r="255" spans="1:12" x14ac:dyDescent="0.2">
      <c r="A255" s="1505" t="s">
        <v>1030</v>
      </c>
      <c r="B255" s="602" t="s">
        <v>288</v>
      </c>
      <c r="C255" s="616"/>
      <c r="D255" s="474"/>
      <c r="E255" s="616"/>
      <c r="F255" s="616"/>
      <c r="G255" s="616"/>
      <c r="H255" s="616"/>
      <c r="I255" s="616"/>
      <c r="J255" s="616"/>
      <c r="K255" s="1671">
        <f t="shared" si="21"/>
        <v>0</v>
      </c>
      <c r="L255" s="466"/>
    </row>
    <row r="256" spans="1:12" x14ac:dyDescent="0.2">
      <c r="A256" s="1505"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0</v>
      </c>
      <c r="E257" s="616"/>
      <c r="F257" s="616"/>
      <c r="G257" s="616"/>
      <c r="H257" s="616"/>
      <c r="I257" s="616"/>
      <c r="J257" s="616"/>
      <c r="K257" s="1669">
        <f>SUM(K245:K256)</f>
        <v>0</v>
      </c>
      <c r="L257" s="1669">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1">
        <f>D259</f>
        <v>0</v>
      </c>
      <c r="L259" s="481"/>
    </row>
    <row r="260" spans="1:14" s="597" customFormat="1" x14ac:dyDescent="0.2">
      <c r="A260" s="1522"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0</v>
      </c>
      <c r="E261" s="616"/>
      <c r="F261" s="616"/>
      <c r="G261" s="616"/>
      <c r="H261" s="616"/>
      <c r="I261" s="616"/>
      <c r="J261" s="616"/>
      <c r="K261" s="1669">
        <f>SUM(K259:K260)</f>
        <v>0</v>
      </c>
      <c r="L261" s="1669">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row>
    <row r="264" spans="1:14" x14ac:dyDescent="0.2">
      <c r="A264" s="1504" t="s">
        <v>463</v>
      </c>
      <c r="B264" s="685">
        <v>2520</v>
      </c>
      <c r="C264" s="616"/>
      <c r="D264" s="466"/>
      <c r="E264" s="616"/>
      <c r="F264" s="616"/>
      <c r="G264" s="616"/>
      <c r="H264" s="616"/>
      <c r="I264" s="616"/>
      <c r="J264" s="616"/>
      <c r="K264" s="1671">
        <f t="shared" ref="K264:K269" si="22">D264</f>
        <v>0</v>
      </c>
      <c r="L264" s="466"/>
    </row>
    <row r="265" spans="1:14" x14ac:dyDescent="0.2">
      <c r="A265" s="1504" t="s">
        <v>4</v>
      </c>
      <c r="B265" s="614">
        <v>2530</v>
      </c>
      <c r="C265" s="616"/>
      <c r="D265" s="466"/>
      <c r="E265" s="616"/>
      <c r="F265" s="616"/>
      <c r="G265" s="616"/>
      <c r="H265" s="616"/>
      <c r="I265" s="616"/>
      <c r="J265" s="616"/>
      <c r="K265" s="1671">
        <f t="shared" si="22"/>
        <v>0</v>
      </c>
      <c r="L265" s="466"/>
    </row>
    <row r="266" spans="1:14" x14ac:dyDescent="0.2">
      <c r="A266" s="1504" t="s">
        <v>197</v>
      </c>
      <c r="B266" s="614">
        <v>2540</v>
      </c>
      <c r="C266" s="616"/>
      <c r="D266" s="466"/>
      <c r="E266" s="616"/>
      <c r="F266" s="616"/>
      <c r="G266" s="616"/>
      <c r="H266" s="616"/>
      <c r="I266" s="616"/>
      <c r="J266" s="616"/>
      <c r="K266" s="1671">
        <f t="shared" si="22"/>
        <v>0</v>
      </c>
      <c r="L266" s="466"/>
    </row>
    <row r="267" spans="1:14" x14ac:dyDescent="0.2">
      <c r="A267" s="1504" t="s">
        <v>953</v>
      </c>
      <c r="B267" s="614">
        <v>2550</v>
      </c>
      <c r="C267" s="616"/>
      <c r="D267" s="466"/>
      <c r="E267" s="616"/>
      <c r="F267" s="616"/>
      <c r="G267" s="616"/>
      <c r="H267" s="616"/>
      <c r="I267" s="616"/>
      <c r="J267" s="616"/>
      <c r="K267" s="1671">
        <f t="shared" si="22"/>
        <v>0</v>
      </c>
      <c r="L267" s="466"/>
    </row>
    <row r="268" spans="1:14" x14ac:dyDescent="0.2">
      <c r="A268" s="1504" t="s">
        <v>100</v>
      </c>
      <c r="B268" s="614">
        <v>2560</v>
      </c>
      <c r="C268" s="616"/>
      <c r="D268" s="466"/>
      <c r="E268" s="616"/>
      <c r="F268" s="616"/>
      <c r="G268" s="616"/>
      <c r="H268" s="616"/>
      <c r="I268" s="616"/>
      <c r="J268" s="616"/>
      <c r="K268" s="1671">
        <f t="shared" si="22"/>
        <v>0</v>
      </c>
      <c r="L268" s="466"/>
    </row>
    <row r="269" spans="1:14" x14ac:dyDescent="0.2">
      <c r="A269" s="1504"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0</v>
      </c>
      <c r="E270" s="616"/>
      <c r="F270" s="616"/>
      <c r="G270" s="616"/>
      <c r="H270" s="616"/>
      <c r="I270" s="616"/>
      <c r="J270" s="616"/>
      <c r="K270" s="1669">
        <f>SUM(K263:K269)</f>
        <v>0</v>
      </c>
      <c r="L270" s="1669">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row>
    <row r="273" spans="1:12" x14ac:dyDescent="0.2">
      <c r="A273" s="1504" t="s">
        <v>607</v>
      </c>
      <c r="B273" s="628">
        <v>2620</v>
      </c>
      <c r="C273" s="616"/>
      <c r="D273" s="466"/>
      <c r="E273" s="616"/>
      <c r="F273" s="616"/>
      <c r="G273" s="616"/>
      <c r="H273" s="616"/>
      <c r="I273" s="616"/>
      <c r="J273" s="616"/>
      <c r="K273" s="1671">
        <f>D273</f>
        <v>0</v>
      </c>
      <c r="L273" s="466"/>
    </row>
    <row r="274" spans="1:12" ht="12" customHeight="1" x14ac:dyDescent="0.2">
      <c r="A274" s="1504" t="s">
        <v>1061</v>
      </c>
      <c r="B274" s="614">
        <v>2630</v>
      </c>
      <c r="C274" s="616"/>
      <c r="D274" s="466"/>
      <c r="E274" s="616"/>
      <c r="F274" s="616"/>
      <c r="G274" s="616"/>
      <c r="H274" s="616"/>
      <c r="I274" s="616"/>
      <c r="J274" s="616"/>
      <c r="K274" s="1671">
        <f>D274</f>
        <v>0</v>
      </c>
      <c r="L274" s="466"/>
    </row>
    <row r="275" spans="1:12" x14ac:dyDescent="0.2">
      <c r="A275" s="1504" t="s">
        <v>403</v>
      </c>
      <c r="B275" s="614">
        <v>2640</v>
      </c>
      <c r="C275" s="616"/>
      <c r="D275" s="466"/>
      <c r="E275" s="616"/>
      <c r="F275" s="616"/>
      <c r="G275" s="616"/>
      <c r="H275" s="616"/>
      <c r="I275" s="616"/>
      <c r="J275" s="616"/>
      <c r="K275" s="1671">
        <f>D275</f>
        <v>0</v>
      </c>
      <c r="L275" s="466"/>
    </row>
    <row r="276" spans="1:12" x14ac:dyDescent="0.2">
      <c r="A276" s="1504"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0</v>
      </c>
      <c r="E279" s="616"/>
      <c r="F279" s="616"/>
      <c r="G279" s="616"/>
      <c r="H279" s="616"/>
      <c r="I279" s="616"/>
      <c r="J279" s="616"/>
      <c r="K279" s="1676">
        <f>SUM(K238,K243,K257,K261,K270,K277,K278)</f>
        <v>0</v>
      </c>
      <c r="L279" s="1676">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8">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69">
        <f>SUM(D229,D279,D280,D285)</f>
        <v>0</v>
      </c>
      <c r="E295" s="616"/>
      <c r="F295" s="616"/>
      <c r="G295" s="616"/>
      <c r="H295" s="1669">
        <f>H293</f>
        <v>0</v>
      </c>
      <c r="I295" s="616"/>
      <c r="J295" s="616"/>
      <c r="K295" s="1669">
        <f>SUM(K229,K279,K280,K285,K293,K294)</f>
        <v>0</v>
      </c>
      <c r="L295" s="1669">
        <f>SUM(L229,L279,L280,L285,L293,L294)</f>
        <v>0</v>
      </c>
    </row>
    <row r="296" spans="1:14" ht="13.5" thickTop="1" x14ac:dyDescent="0.2">
      <c r="A296" s="2155" t="s">
        <v>996</v>
      </c>
      <c r="B296" s="2156"/>
      <c r="C296" s="616"/>
      <c r="D296" s="618"/>
      <c r="E296" s="616"/>
      <c r="F296" s="616"/>
      <c r="G296" s="616"/>
      <c r="H296" s="687"/>
      <c r="I296" s="616"/>
      <c r="J296" s="616"/>
      <c r="K296" s="1683">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0">
        <f>SUM(C301:J301)</f>
        <v>0</v>
      </c>
      <c r="L301" s="467"/>
    </row>
    <row r="302" spans="1:14" ht="13.5" customHeight="1" x14ac:dyDescent="0.2">
      <c r="A302" s="1517"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6" t="s">
        <v>996</v>
      </c>
      <c r="B313" s="2167"/>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0">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SUM(L330,L334,L340,L341)</f>
        <v>0</v>
      </c>
    </row>
    <row r="343" spans="1:14" ht="12.75" customHeight="1" thickTop="1" x14ac:dyDescent="0.2">
      <c r="A343" s="2168" t="s">
        <v>996</v>
      </c>
      <c r="B343" s="2169"/>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0">
        <f>SUM(C348:J348)</f>
        <v>0</v>
      </c>
      <c r="L348" s="466"/>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row>
    <row r="355" spans="1:14" ht="12.75" customHeight="1" x14ac:dyDescent="0.2">
      <c r="A355" s="1513" t="s">
        <v>1853</v>
      </c>
      <c r="B355" s="690" t="s">
        <v>1846</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5" t="s">
        <v>996</v>
      </c>
      <c r="B368" s="2156"/>
      <c r="C368" s="654"/>
      <c r="D368" s="654"/>
      <c r="E368" s="626"/>
      <c r="F368" s="626"/>
      <c r="G368" s="626"/>
      <c r="H368" s="626"/>
      <c r="I368" s="626"/>
      <c r="J368" s="623"/>
      <c r="K368" s="1670">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3" sqref="A13:H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2" t="s">
        <v>1802</v>
      </c>
      <c r="B2" s="1528" t="s">
        <v>1949</v>
      </c>
      <c r="C2" s="714" t="s">
        <v>1950</v>
      </c>
      <c r="D2" s="714" t="s">
        <v>1951</v>
      </c>
      <c r="E2" s="714" t="s">
        <v>1952</v>
      </c>
      <c r="F2" s="714" t="s">
        <v>1953</v>
      </c>
    </row>
    <row r="3" spans="1:6" ht="12" customHeight="1" x14ac:dyDescent="0.2">
      <c r="A3" s="2183"/>
      <c r="B3" s="1525"/>
      <c r="C3" s="1526"/>
      <c r="D3" s="1527" t="s">
        <v>256</v>
      </c>
      <c r="E3" s="1526"/>
      <c r="F3" s="1527" t="s">
        <v>257</v>
      </c>
    </row>
    <row r="4" spans="1:6" ht="13.7" customHeight="1" x14ac:dyDescent="0.2">
      <c r="A4" s="715" t="s">
        <v>1155</v>
      </c>
      <c r="B4" s="1748">
        <f>'Revenues 9-14'!C5</f>
        <v>0</v>
      </c>
      <c r="C4" s="1524"/>
      <c r="D4" s="1751">
        <f>B4-C4</f>
        <v>0</v>
      </c>
      <c r="E4" s="1524"/>
      <c r="F4" s="1751">
        <f>E4-C4</f>
        <v>0</v>
      </c>
    </row>
    <row r="5" spans="1:6" ht="13.7" customHeight="1" x14ac:dyDescent="0.2">
      <c r="A5" s="715" t="s">
        <v>870</v>
      </c>
      <c r="B5" s="1749">
        <f>'Revenues 9-14'!D5</f>
        <v>0</v>
      </c>
      <c r="C5" s="585"/>
      <c r="D5" s="1752">
        <f t="shared" ref="D5:D18" si="0">B5-C5</f>
        <v>0</v>
      </c>
      <c r="E5" s="585"/>
      <c r="F5" s="1752">
        <f>E5-C5</f>
        <v>0</v>
      </c>
    </row>
    <row r="6" spans="1:6" ht="13.7" customHeight="1" x14ac:dyDescent="0.2">
      <c r="A6" s="715" t="s">
        <v>411</v>
      </c>
      <c r="B6" s="1749">
        <f>'Revenues 9-14'!E5</f>
        <v>0</v>
      </c>
      <c r="C6" s="585"/>
      <c r="D6" s="1752">
        <f t="shared" si="0"/>
        <v>0</v>
      </c>
      <c r="E6" s="585"/>
      <c r="F6" s="1752">
        <f t="shared" ref="F6:F18" si="1">E6-C6</f>
        <v>0</v>
      </c>
    </row>
    <row r="7" spans="1:6" ht="13.7" customHeight="1" x14ac:dyDescent="0.2">
      <c r="A7" s="715" t="s">
        <v>155</v>
      </c>
      <c r="B7" s="1749">
        <f>'Revenues 9-14'!F5</f>
        <v>0</v>
      </c>
      <c r="C7" s="585"/>
      <c r="D7" s="1752">
        <f t="shared" si="0"/>
        <v>0</v>
      </c>
      <c r="E7" s="585"/>
      <c r="F7" s="1752">
        <f t="shared" si="1"/>
        <v>0</v>
      </c>
    </row>
    <row r="8" spans="1:6" ht="13.7" customHeight="1" x14ac:dyDescent="0.2">
      <c r="A8" s="715" t="s">
        <v>1179</v>
      </c>
      <c r="B8" s="1749">
        <f>'Revenues 9-14'!G5</f>
        <v>0</v>
      </c>
      <c r="C8" s="585"/>
      <c r="D8" s="1752">
        <f t="shared" si="0"/>
        <v>0</v>
      </c>
      <c r="E8" s="585"/>
      <c r="F8" s="1752">
        <f t="shared" si="1"/>
        <v>0</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0</v>
      </c>
      <c r="C10" s="585"/>
      <c r="D10" s="1752">
        <f t="shared" si="0"/>
        <v>0</v>
      </c>
      <c r="E10" s="585"/>
      <c r="F10" s="1752">
        <f t="shared" si="1"/>
        <v>0</v>
      </c>
    </row>
    <row r="11" spans="1:6" x14ac:dyDescent="0.2">
      <c r="A11" s="715" t="s">
        <v>409</v>
      </c>
      <c r="B11" s="1749">
        <f>'Revenues 9-14'!J5</f>
        <v>0</v>
      </c>
      <c r="C11" s="585"/>
      <c r="D11" s="1752">
        <f t="shared" si="0"/>
        <v>0</v>
      </c>
      <c r="E11" s="585"/>
      <c r="F11" s="1752">
        <f t="shared" si="1"/>
        <v>0</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0</v>
      </c>
      <c r="C14" s="585"/>
      <c r="D14" s="1752">
        <f t="shared" si="0"/>
        <v>0</v>
      </c>
      <c r="E14" s="585"/>
      <c r="F14" s="1752">
        <f t="shared" si="1"/>
        <v>0</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0</v>
      </c>
      <c r="C16" s="585"/>
      <c r="D16" s="1752">
        <f t="shared" si="0"/>
        <v>0</v>
      </c>
      <c r="E16" s="585"/>
      <c r="F16" s="1752">
        <f t="shared" si="1"/>
        <v>0</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0</v>
      </c>
      <c r="C19" s="1750">
        <f>SUM(C4:C18)</f>
        <v>0</v>
      </c>
      <c r="D19" s="1750">
        <f>SUM(D4:D18)</f>
        <v>0</v>
      </c>
      <c r="E19" s="1750">
        <f>SUM(E4:E18)</f>
        <v>0</v>
      </c>
      <c r="F19" s="1750">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A13" sqref="A13:H1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2" t="s">
        <v>1954</v>
      </c>
      <c r="D2" s="723" t="s">
        <v>1955</v>
      </c>
      <c r="E2" s="723" t="s">
        <v>1956</v>
      </c>
      <c r="F2" s="1882" t="s">
        <v>1957</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4">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5" t="s">
        <v>631</v>
      </c>
      <c r="B15" s="2196"/>
      <c r="C15" s="1754">
        <f>SUM(C6:C14)</f>
        <v>0</v>
      </c>
      <c r="D15" s="1754">
        <f>SUM(D6:D14)</f>
        <v>0</v>
      </c>
      <c r="E15" s="1754">
        <f>SUM(E6:E14)</f>
        <v>0</v>
      </c>
      <c r="F15" s="1754">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4">
        <f>SUM(C17+D17)-E17</f>
        <v>0</v>
      </c>
    </row>
    <row r="18" spans="1:11" ht="12.75" customHeight="1" thickTop="1" thickBot="1" x14ac:dyDescent="0.25">
      <c r="A18" s="2190" t="s">
        <v>6</v>
      </c>
      <c r="B18" s="2191"/>
      <c r="C18" s="726"/>
      <c r="D18" s="585"/>
      <c r="E18" s="726"/>
      <c r="F18" s="1754">
        <f>SUM(C18+D18)-E18</f>
        <v>0</v>
      </c>
    </row>
    <row r="19" spans="1:11" ht="12.75" customHeight="1" thickTop="1" thickBot="1" x14ac:dyDescent="0.25">
      <c r="A19" s="2190" t="s">
        <v>388</v>
      </c>
      <c r="B19" s="2191"/>
      <c r="C19" s="726"/>
      <c r="D19" s="585"/>
      <c r="E19" s="726"/>
      <c r="F19" s="1754">
        <f>SUM(C19+D19)-E19</f>
        <v>0</v>
      </c>
    </row>
    <row r="20" spans="1:11" ht="12.75" customHeight="1" thickTop="1" thickBot="1" x14ac:dyDescent="0.25">
      <c r="A20" s="2190" t="s">
        <v>448</v>
      </c>
      <c r="B20" s="2191"/>
      <c r="C20" s="726"/>
      <c r="D20" s="585"/>
      <c r="E20" s="726"/>
      <c r="F20" s="1754">
        <f>SUM(C20+D20)-E20</f>
        <v>0</v>
      </c>
    </row>
    <row r="21" spans="1:11" ht="14.25" thickTop="1" thickBot="1" x14ac:dyDescent="0.25">
      <c r="A21" s="2195" t="s">
        <v>632</v>
      </c>
      <c r="B21" s="2196"/>
      <c r="C21" s="1754">
        <f>SUM(C17:C20)</f>
        <v>0</v>
      </c>
      <c r="D21" s="1754">
        <f>SUM(D17:D20)</f>
        <v>0</v>
      </c>
      <c r="E21" s="1754">
        <f>SUM(E17:E20)</f>
        <v>0</v>
      </c>
      <c r="F21" s="1754">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4">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4">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4">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0</v>
      </c>
      <c r="D49" s="745"/>
      <c r="E49" s="1755">
        <f t="shared" ref="E49:J49" si="2">SUM(E31:E48)</f>
        <v>0</v>
      </c>
      <c r="F49" s="1755">
        <f t="shared" si="2"/>
        <v>0</v>
      </c>
      <c r="G49" s="1755">
        <f t="shared" si="2"/>
        <v>0</v>
      </c>
      <c r="H49" s="1755">
        <f t="shared" si="2"/>
        <v>0</v>
      </c>
      <c r="I49" s="1755">
        <f t="shared" si="2"/>
        <v>0</v>
      </c>
      <c r="J49" s="1755">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3" sqref="A13:H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1962</v>
      </c>
      <c r="B3" s="2236"/>
      <c r="C3" s="2236"/>
      <c r="D3" s="2236"/>
      <c r="E3" s="2237"/>
      <c r="F3" s="763"/>
      <c r="G3" s="764"/>
      <c r="H3" s="764">
        <v>0</v>
      </c>
      <c r="I3" s="764">
        <v>0</v>
      </c>
      <c r="J3" s="765"/>
      <c r="K3" s="765">
        <v>0</v>
      </c>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6" t="s">
        <v>1813</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6"/>
      <c r="G12" s="1757">
        <f>SUM(G5:G11)</f>
        <v>0</v>
      </c>
      <c r="H12" s="1757">
        <f>SUM(H5:H11)</f>
        <v>0</v>
      </c>
      <c r="I12" s="1757">
        <f>SUM(I5:I11)</f>
        <v>0</v>
      </c>
      <c r="J12" s="1757">
        <f>SUM(J5:J11)</f>
        <v>0</v>
      </c>
      <c r="K12" s="1757">
        <f>SUM(K5:K11)</f>
        <v>0</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8"/>
      <c r="G21" s="792"/>
      <c r="H21" s="796"/>
      <c r="I21" s="796"/>
      <c r="J21" s="1759">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0"/>
      <c r="G23" s="1757">
        <f>SUM(G14:G16,G21,G22)</f>
        <v>0</v>
      </c>
      <c r="H23" s="1757">
        <f>SUM(H14:H16,H21,H22)</f>
        <v>0</v>
      </c>
      <c r="I23" s="1757">
        <f>SUM(I14:I16,I21,I22)</f>
        <v>0</v>
      </c>
      <c r="J23" s="1757">
        <f>SUM(J14:J16,J21,J22)</f>
        <v>0</v>
      </c>
      <c r="K23" s="1757">
        <f>SUM(K14:K16,K21,K22)</f>
        <v>0</v>
      </c>
    </row>
    <row r="24" spans="1:11" ht="14.25" thickTop="1" thickBot="1" x14ac:dyDescent="0.25">
      <c r="A24" s="2247" t="s">
        <v>1963</v>
      </c>
      <c r="B24" s="2246"/>
      <c r="C24" s="2246"/>
      <c r="D24" s="2246"/>
      <c r="E24" s="2246"/>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3" sqref="A13: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59">
        <f>(C5+D5)-E5</f>
        <v>0</v>
      </c>
      <c r="G5" s="837"/>
      <c r="H5" s="842"/>
      <c r="I5" s="842"/>
      <c r="J5" s="842"/>
      <c r="K5" s="793"/>
      <c r="L5" s="1768">
        <f>F5-K5</f>
        <v>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59">
        <f>(C8+D8)-E8</f>
        <v>0</v>
      </c>
      <c r="G8" s="843">
        <v>50</v>
      </c>
      <c r="H8" s="765"/>
      <c r="I8" s="765"/>
      <c r="J8" s="765"/>
      <c r="K8" s="1768">
        <f>(H8+I8)-J8</f>
        <v>0</v>
      </c>
      <c r="L8" s="1768">
        <f>F8-K8</f>
        <v>0</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c r="D10" s="846"/>
      <c r="E10" s="846"/>
      <c r="F10" s="1763">
        <f>(C10+D10)-E10</f>
        <v>0</v>
      </c>
      <c r="G10" s="843">
        <v>20</v>
      </c>
      <c r="H10" s="847"/>
      <c r="I10" s="847"/>
      <c r="J10" s="847"/>
      <c r="K10" s="1768">
        <f>(H10+I10)-J10</f>
        <v>0</v>
      </c>
      <c r="L10" s="1768">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590997</v>
      </c>
      <c r="D12" s="844">
        <v>16414</v>
      </c>
      <c r="E12" s="844">
        <v>38749</v>
      </c>
      <c r="F12" s="1759">
        <f>(C12+D12)-E12</f>
        <v>568662</v>
      </c>
      <c r="G12" s="843">
        <v>10</v>
      </c>
      <c r="H12" s="765">
        <v>305668</v>
      </c>
      <c r="I12" s="765">
        <v>56866</v>
      </c>
      <c r="J12" s="765">
        <v>38749</v>
      </c>
      <c r="K12" s="1768">
        <f>(H12+I12)-J12</f>
        <v>323785</v>
      </c>
      <c r="L12" s="1768">
        <f>F12-K12</f>
        <v>244877</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590997</v>
      </c>
      <c r="D16" s="1759">
        <f>SUM(D3,D5:D6,D8:D10,D12:D15)</f>
        <v>16414</v>
      </c>
      <c r="E16" s="1759">
        <f>SUM(E3,E5:E6,E8:E10,E12:E15)</f>
        <v>38749</v>
      </c>
      <c r="F16" s="1759">
        <f>SUM(F3,F5:F6,F8:F10,F12:F15)</f>
        <v>568662</v>
      </c>
      <c r="G16" s="843"/>
      <c r="H16" s="1759">
        <f>SUM(H3,H6,H8:H10,H12:H14,)</f>
        <v>305668</v>
      </c>
      <c r="I16" s="1759">
        <f>SUM(I3,I6,I8:I10,I12:I14,)</f>
        <v>56866</v>
      </c>
      <c r="J16" s="1759">
        <f>SUM(J3,J6,J8:J10,J12:J14,)</f>
        <v>38749</v>
      </c>
      <c r="K16" s="1759">
        <f>(H16+I16)-J16</f>
        <v>323785</v>
      </c>
      <c r="L16" s="1759">
        <f>F16-K16</f>
        <v>244877</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56866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13" sqref="A13:H13"/>
      <selection pane="bottomLeft" activeCell="A13" sqref="A13:H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1973</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394899</v>
      </c>
      <c r="G8" s="865"/>
    </row>
    <row r="9" spans="1:7" x14ac:dyDescent="0.2">
      <c r="A9" s="869" t="s">
        <v>460</v>
      </c>
      <c r="B9" s="870" t="s">
        <v>1876</v>
      </c>
      <c r="C9" s="871"/>
      <c r="D9" s="869" t="s">
        <v>501</v>
      </c>
      <c r="E9" s="868"/>
      <c r="F9" s="1907">
        <f>'Expenditures 15-22'!K151</f>
        <v>0</v>
      </c>
      <c r="G9" s="872"/>
    </row>
    <row r="10" spans="1:7" x14ac:dyDescent="0.2">
      <c r="A10" s="869" t="s">
        <v>499</v>
      </c>
      <c r="B10" s="870" t="s">
        <v>1877</v>
      </c>
      <c r="C10" s="871"/>
      <c r="D10" s="869" t="s">
        <v>501</v>
      </c>
      <c r="E10" s="868"/>
      <c r="F10" s="1907">
        <f>'Expenditures 15-22'!K174</f>
        <v>0</v>
      </c>
      <c r="G10" s="872"/>
    </row>
    <row r="11" spans="1:7" x14ac:dyDescent="0.2">
      <c r="A11" s="869" t="s">
        <v>461</v>
      </c>
      <c r="B11" s="870" t="s">
        <v>1878</v>
      </c>
      <c r="C11" s="871"/>
      <c r="D11" s="869" t="s">
        <v>501</v>
      </c>
      <c r="E11" s="868"/>
      <c r="F11" s="1907">
        <f>'Expenditures 15-22'!K210</f>
        <v>0</v>
      </c>
      <c r="G11" s="872"/>
    </row>
    <row r="12" spans="1:7" x14ac:dyDescent="0.2">
      <c r="A12" s="869" t="s">
        <v>462</v>
      </c>
      <c r="B12" s="870" t="s">
        <v>1879</v>
      </c>
      <c r="C12" s="871"/>
      <c r="D12" s="869" t="s">
        <v>501</v>
      </c>
      <c r="E12" s="868"/>
      <c r="F12" s="1907">
        <f>'Expenditures 15-22'!K295</f>
        <v>0</v>
      </c>
      <c r="G12" s="872"/>
    </row>
    <row r="13" spans="1:7" x14ac:dyDescent="0.2">
      <c r="A13" s="869" t="s">
        <v>106</v>
      </c>
      <c r="B13" s="870" t="s">
        <v>1880</v>
      </c>
      <c r="C13" s="871"/>
      <c r="D13" s="869" t="s">
        <v>501</v>
      </c>
      <c r="E13" s="868"/>
      <c r="F13" s="1907">
        <f>'Expenditures 15-22'!K342</f>
        <v>0</v>
      </c>
      <c r="G13" s="873"/>
    </row>
    <row r="14" spans="1:7" ht="12" customHeight="1" thickBot="1" x14ac:dyDescent="0.25">
      <c r="A14" s="1769"/>
      <c r="B14" s="1770"/>
      <c r="C14" s="1771"/>
      <c r="D14" s="1772" t="s">
        <v>501</v>
      </c>
      <c r="E14" s="1773" t="s">
        <v>958</v>
      </c>
      <c r="F14" s="1774">
        <f>SUM(F8:F13)</f>
        <v>394899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1">
        <f>'Expenditures 15-22'!K102</f>
        <v>340007</v>
      </c>
      <c r="G53" s="865"/>
    </row>
    <row r="54" spans="1:7" x14ac:dyDescent="0.2">
      <c r="A54" s="869" t="s">
        <v>459</v>
      </c>
      <c r="B54" s="869" t="s">
        <v>1476</v>
      </c>
      <c r="C54" s="889" t="s">
        <v>982</v>
      </c>
      <c r="D54" s="885" t="s">
        <v>1095</v>
      </c>
      <c r="E54" s="868"/>
      <c r="F54" s="1911">
        <f>'Expenditures 15-22'!G114</f>
        <v>16414</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0</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0</v>
      </c>
      <c r="G64" s="865"/>
    </row>
    <row r="65" spans="1:8" x14ac:dyDescent="0.2">
      <c r="A65" s="869" t="s">
        <v>461</v>
      </c>
      <c r="B65" s="869" t="s">
        <v>1889</v>
      </c>
      <c r="C65" s="886" t="s">
        <v>982</v>
      </c>
      <c r="D65" s="885" t="s">
        <v>1095</v>
      </c>
      <c r="E65" s="868"/>
      <c r="F65" s="1911">
        <f>'Expenditures 15-22'!G210</f>
        <v>0</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356421</v>
      </c>
      <c r="G76" s="865"/>
    </row>
    <row r="77" spans="1:8" s="893" customFormat="1" ht="12" customHeight="1" thickTop="1" thickBot="1" x14ac:dyDescent="0.25">
      <c r="A77" s="1778"/>
      <c r="B77" s="1775"/>
      <c r="C77" s="1771"/>
      <c r="D77" s="1776" t="s">
        <v>1899</v>
      </c>
      <c r="E77" s="1773"/>
      <c r="F77" s="1779">
        <f>(F14-F76)</f>
        <v>38478</v>
      </c>
      <c r="G77" s="869"/>
    </row>
    <row r="78" spans="1:8" s="893" customFormat="1" ht="12" customHeight="1" thickTop="1" x14ac:dyDescent="0.2">
      <c r="A78" s="1780"/>
      <c r="B78" s="1775"/>
      <c r="C78" s="1771"/>
      <c r="D78" s="1776" t="s">
        <v>2060</v>
      </c>
      <c r="E78" s="1773"/>
      <c r="F78" s="898">
        <v>0</v>
      </c>
      <c r="G78" s="899"/>
      <c r="H78" s="869"/>
    </row>
    <row r="79" spans="1:8" s="893" customFormat="1" ht="12" customHeight="1" thickBot="1" x14ac:dyDescent="0.25">
      <c r="A79" s="1781"/>
      <c r="B79" s="1775"/>
      <c r="C79" s="1771"/>
      <c r="D79" s="1776" t="s">
        <v>1900</v>
      </c>
      <c r="E79" s="1773" t="s">
        <v>958</v>
      </c>
      <c r="F79" s="1782"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0</v>
      </c>
      <c r="G94" s="912"/>
    </row>
    <row r="95" spans="1:7" x14ac:dyDescent="0.2">
      <c r="A95" s="908" t="s">
        <v>140</v>
      </c>
      <c r="B95" s="908" t="s">
        <v>175</v>
      </c>
      <c r="C95" s="910">
        <v>1700</v>
      </c>
      <c r="D95" s="918" t="str">
        <f>'Revenues 9-14'!A82</f>
        <v>Total District/School Activity Income</v>
      </c>
      <c r="E95" s="906"/>
      <c r="F95" s="1788">
        <f>SUM('Revenues 9-14'!C82,'Revenues 9-14'!D82)</f>
        <v>0</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2001</v>
      </c>
      <c r="C105" s="913">
        <v>3100</v>
      </c>
      <c r="D105" s="919" t="str">
        <f>'Revenues 9-14'!A132</f>
        <v>Total Special Education</v>
      </c>
      <c r="E105" s="906"/>
      <c r="F105" s="1788">
        <f>SUM('Revenues 9-14'!C132:D132,'Revenues 9-14'!F132)</f>
        <v>0</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96423</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0</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0</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2020</v>
      </c>
      <c r="C124" s="932">
        <v>4100</v>
      </c>
      <c r="D124" s="933" t="str">
        <f>'Revenues 9-14'!A188</f>
        <v>Total Title V</v>
      </c>
      <c r="E124" s="906"/>
      <c r="F124" s="1788">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8">
        <f>SUM('Revenues 9-14'!C198,'Revenues 9-14'!G198)</f>
        <v>0</v>
      </c>
      <c r="G125" s="930"/>
    </row>
    <row r="126" spans="1:7" x14ac:dyDescent="0.2">
      <c r="A126" s="927" t="s">
        <v>668</v>
      </c>
      <c r="B126" s="927" t="s">
        <v>2022</v>
      </c>
      <c r="C126" s="932">
        <v>4300</v>
      </c>
      <c r="D126" s="933" t="str">
        <f>'Revenues 9-14'!A204</f>
        <v>Total Title I</v>
      </c>
      <c r="E126" s="906"/>
      <c r="F126" s="1788">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4498</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6" t="s">
        <v>5</v>
      </c>
      <c r="B171" s="1917" t="s">
        <v>1919</v>
      </c>
      <c r="C171" s="1918">
        <v>3100</v>
      </c>
      <c r="D171" s="1919" t="s">
        <v>1921</v>
      </c>
      <c r="E171" s="906"/>
      <c r="F171" s="1904"/>
      <c r="G171" s="927"/>
    </row>
    <row r="172" spans="1:7" x14ac:dyDescent="0.2">
      <c r="A172" s="1916" t="s">
        <v>664</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100921</v>
      </c>
    </row>
    <row r="175" spans="1:7" ht="12" customHeight="1" x14ac:dyDescent="0.2">
      <c r="A175" s="1769"/>
      <c r="B175" s="1783"/>
      <c r="C175" s="1784"/>
      <c r="D175" s="1785" t="s">
        <v>2055</v>
      </c>
      <c r="E175" s="1786"/>
      <c r="F175" s="1788">
        <f>'PCTC-OEPP 27-28'!F77-F174</f>
        <v>-62443</v>
      </c>
    </row>
    <row r="176" spans="1:7" ht="12" customHeight="1" x14ac:dyDescent="0.2">
      <c r="A176" s="1769"/>
      <c r="B176" s="1783"/>
      <c r="C176" s="1784"/>
      <c r="D176" s="1785" t="s">
        <v>1817</v>
      </c>
      <c r="E176" s="1786"/>
      <c r="F176" s="1788">
        <f>'Cap Outlay Deprec 26'!I18</f>
        <v>56866</v>
      </c>
    </row>
    <row r="177" spans="1:7" ht="12" customHeight="1" x14ac:dyDescent="0.2">
      <c r="A177" s="1769"/>
      <c r="B177" s="1783"/>
      <c r="C177" s="1784"/>
      <c r="D177" s="1785" t="s">
        <v>2056</v>
      </c>
      <c r="E177" s="1786"/>
      <c r="F177" s="1788">
        <f>F175+F176</f>
        <v>-5577</v>
      </c>
    </row>
    <row r="178" spans="1:7" ht="12" customHeight="1" x14ac:dyDescent="0.2">
      <c r="A178" s="1769"/>
      <c r="B178" s="1789"/>
      <c r="C178" s="1784"/>
      <c r="D178" s="1785" t="str">
        <f>D78</f>
        <v>9 Month ADA from District Average Daily Attendance/Prior General State Aid Inquiry 2018-2019</v>
      </c>
      <c r="E178" s="1786"/>
      <c r="F178" s="1790">
        <f>'PCTC-OEPP 27-28'!F78</f>
        <v>0</v>
      </c>
      <c r="G178" s="930"/>
    </row>
    <row r="179" spans="1:7" ht="12" customHeight="1" thickBot="1" x14ac:dyDescent="0.25">
      <c r="A179" s="1769"/>
      <c r="B179" s="1789"/>
      <c r="C179" s="1784"/>
      <c r="D179" s="1785" t="s">
        <v>2057</v>
      </c>
      <c r="E179" s="1786" t="s">
        <v>1545</v>
      </c>
      <c r="F179" s="1791"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zoomScaleNormal="100" workbookViewId="0">
      <selection activeCell="A13" sqref="A13:H1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936" t="s">
        <v>2064</v>
      </c>
      <c r="B6" s="1937"/>
      <c r="C6" s="1937"/>
      <c r="D6" s="1937"/>
      <c r="E6" s="1937"/>
      <c r="F6" s="1937"/>
      <c r="G6" s="1938"/>
    </row>
    <row r="7" spans="1:7" ht="18.75" x14ac:dyDescent="0.25">
      <c r="A7" s="1534" t="s">
        <v>1819</v>
      </c>
      <c r="B7" s="1535"/>
      <c r="C7" s="1535"/>
      <c r="D7" s="1535"/>
      <c r="E7" s="1535"/>
      <c r="F7" s="1535"/>
      <c r="G7" s="1536"/>
    </row>
    <row r="8" spans="1:7" ht="30.75" customHeight="1" x14ac:dyDescent="0.25">
      <c r="A8" s="2275" t="s">
        <v>1931</v>
      </c>
      <c r="B8" s="2276"/>
      <c r="C8" s="2276"/>
      <c r="D8" s="2276"/>
      <c r="E8" s="2276"/>
      <c r="F8" s="2276"/>
      <c r="G8" s="2277"/>
    </row>
    <row r="9" spans="1:7" ht="15.75" customHeight="1" x14ac:dyDescent="0.25">
      <c r="A9" s="2278" t="s">
        <v>1906</v>
      </c>
      <c r="B9" s="2279"/>
      <c r="C9" s="2279"/>
      <c r="D9" s="2279"/>
      <c r="E9" s="2279"/>
      <c r="F9" s="2279"/>
      <c r="G9" s="2280"/>
    </row>
    <row r="10" spans="1:7" ht="35.25" customHeight="1" x14ac:dyDescent="0.25">
      <c r="A10" s="2275" t="s">
        <v>2063</v>
      </c>
      <c r="B10" s="2276"/>
      <c r="C10" s="2276"/>
      <c r="D10" s="2276"/>
      <c r="E10" s="2276"/>
      <c r="F10" s="2276"/>
      <c r="G10" s="2277"/>
    </row>
    <row r="11" spans="1:7" ht="15" customHeight="1" x14ac:dyDescent="0.25">
      <c r="A11" s="1537" t="s">
        <v>1820</v>
      </c>
      <c r="B11" s="1538"/>
      <c r="C11" s="1538"/>
      <c r="D11" s="1538"/>
      <c r="E11" s="1538"/>
      <c r="F11" s="1538"/>
      <c r="G11" s="1539"/>
    </row>
    <row r="12" spans="1:7" ht="17.25" customHeight="1" x14ac:dyDescent="0.25">
      <c r="A12" s="2275" t="s">
        <v>1933</v>
      </c>
      <c r="B12" s="2276"/>
      <c r="C12" s="2276"/>
      <c r="D12" s="2276"/>
      <c r="E12" s="2276"/>
      <c r="F12" s="2276"/>
      <c r="G12" s="2277"/>
    </row>
    <row r="13" spans="1:7" ht="15" customHeight="1" x14ac:dyDescent="0.25">
      <c r="A13" s="1537" t="s">
        <v>1825</v>
      </c>
      <c r="B13" s="1538"/>
      <c r="C13" s="1538"/>
      <c r="D13" s="1538"/>
      <c r="E13" s="1538"/>
      <c r="F13" s="1538"/>
      <c r="G13" s="1539"/>
    </row>
    <row r="14" spans="1:7" ht="32.25" customHeight="1" x14ac:dyDescent="0.25">
      <c r="A14" s="2266" t="s">
        <v>1974</v>
      </c>
      <c r="B14" s="2267"/>
      <c r="C14" s="2267"/>
      <c r="D14" s="2267"/>
      <c r="E14" s="2267"/>
      <c r="F14" s="2267"/>
      <c r="G14" s="2268"/>
    </row>
    <row r="15" spans="1:7" x14ac:dyDescent="0.25">
      <c r="A15" s="1660" t="s">
        <v>1833</v>
      </c>
      <c r="B15" s="1661"/>
      <c r="C15" s="1661"/>
      <c r="D15" s="1661"/>
      <c r="E15" s="1661"/>
      <c r="F15" s="1661"/>
      <c r="G15" s="1662"/>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28"/>
      <c r="B18" s="1934"/>
      <c r="C18" s="1655"/>
      <c r="D18" s="1842"/>
      <c r="E18" s="1540">
        <f t="shared" ref="E18:E37" si="0">IF(D18&lt;=25000,D18,IF(D18&gt;25000,25000,0))</f>
        <v>0</v>
      </c>
      <c r="F18" s="1935">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2">
        <f>IF(F18=0,0,D18-F18)</f>
        <v>0</v>
      </c>
      <c r="H18" s="1647"/>
    </row>
    <row r="19" spans="1:8" x14ac:dyDescent="0.25">
      <c r="A19" s="1653"/>
      <c r="B19" s="1932"/>
      <c r="C19" s="1655"/>
      <c r="D19" s="1842"/>
      <c r="E19" s="1540">
        <f t="shared" ref="E19:E36" si="2">IF(D19&lt;=25000,D19,IF(D19&gt;25000,25000,0))</f>
        <v>0</v>
      </c>
      <c r="F19" s="1935">
        <f t="shared" si="1"/>
        <v>0</v>
      </c>
      <c r="G19" s="1792">
        <f t="shared" ref="G19:G36" si="3">IF(F19=0,0,D19-F19)</f>
        <v>0</v>
      </c>
    </row>
    <row r="20" spans="1:8" x14ac:dyDescent="0.25">
      <c r="A20" s="1653"/>
      <c r="B20" s="1666"/>
      <c r="C20" s="1654"/>
      <c r="D20" s="1842"/>
      <c r="E20" s="1540">
        <f t="shared" si="2"/>
        <v>0</v>
      </c>
      <c r="F20" s="1935">
        <f t="shared" si="1"/>
        <v>0</v>
      </c>
      <c r="G20" s="1792">
        <f t="shared" si="3"/>
        <v>0</v>
      </c>
    </row>
    <row r="21" spans="1:8" x14ac:dyDescent="0.25">
      <c r="A21" s="1653"/>
      <c r="B21" s="1666"/>
      <c r="C21" s="1654"/>
      <c r="D21" s="1842"/>
      <c r="E21" s="1540">
        <f t="shared" si="2"/>
        <v>0</v>
      </c>
      <c r="F21" s="1935">
        <f t="shared" si="1"/>
        <v>0</v>
      </c>
      <c r="G21" s="1792">
        <f t="shared" si="3"/>
        <v>0</v>
      </c>
    </row>
    <row r="22" spans="1:8" x14ac:dyDescent="0.25">
      <c r="A22" s="1653"/>
      <c r="B22" s="1666"/>
      <c r="C22" s="1654"/>
      <c r="D22" s="1842"/>
      <c r="E22" s="1540">
        <f t="shared" si="2"/>
        <v>0</v>
      </c>
      <c r="F22" s="1935">
        <f t="shared" si="1"/>
        <v>0</v>
      </c>
      <c r="G22" s="1792">
        <f t="shared" si="3"/>
        <v>0</v>
      </c>
    </row>
    <row r="23" spans="1:8" x14ac:dyDescent="0.25">
      <c r="A23" s="1653"/>
      <c r="B23" s="1666"/>
      <c r="C23" s="1654"/>
      <c r="D23" s="1842"/>
      <c r="E23" s="1540">
        <f t="shared" si="2"/>
        <v>0</v>
      </c>
      <c r="F23" s="1935">
        <f t="shared" si="1"/>
        <v>0</v>
      </c>
      <c r="G23" s="1792">
        <f t="shared" si="3"/>
        <v>0</v>
      </c>
    </row>
    <row r="24" spans="1:8" x14ac:dyDescent="0.25">
      <c r="A24" s="1653"/>
      <c r="B24" s="1666"/>
      <c r="C24" s="1654"/>
      <c r="D24" s="1842"/>
      <c r="E24" s="1540">
        <f t="shared" si="2"/>
        <v>0</v>
      </c>
      <c r="F24" s="1935">
        <f t="shared" si="1"/>
        <v>0</v>
      </c>
      <c r="G24" s="1792">
        <f t="shared" si="3"/>
        <v>0</v>
      </c>
    </row>
    <row r="25" spans="1:8" x14ac:dyDescent="0.25">
      <c r="A25" s="1653"/>
      <c r="B25" s="1666"/>
      <c r="C25" s="1654"/>
      <c r="D25" s="1842"/>
      <c r="E25" s="1540">
        <f t="shared" si="2"/>
        <v>0</v>
      </c>
      <c r="F25" s="1935">
        <f t="shared" si="1"/>
        <v>0</v>
      </c>
      <c r="G25" s="1792">
        <f t="shared" si="3"/>
        <v>0</v>
      </c>
    </row>
    <row r="26" spans="1:8" x14ac:dyDescent="0.25">
      <c r="A26" s="1653"/>
      <c r="B26" s="1666"/>
      <c r="C26" s="1654"/>
      <c r="D26" s="1842"/>
      <c r="E26" s="1540">
        <f t="shared" si="2"/>
        <v>0</v>
      </c>
      <c r="F26" s="1935">
        <f t="shared" si="1"/>
        <v>0</v>
      </c>
      <c r="G26" s="1792">
        <f t="shared" si="3"/>
        <v>0</v>
      </c>
    </row>
    <row r="27" spans="1:8" x14ac:dyDescent="0.25">
      <c r="A27" s="1653"/>
      <c r="B27" s="1666"/>
      <c r="C27" s="1654"/>
      <c r="D27" s="1842"/>
      <c r="E27" s="1540">
        <f t="shared" ref="E27" si="4">IF(D27&lt;=25000,D27,IF(D27&gt;25000,25000,0))</f>
        <v>0</v>
      </c>
      <c r="F27" s="1935">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2">
        <f t="shared" ref="G27" si="6">IF(F27=0,0,D27-F27)</f>
        <v>0</v>
      </c>
    </row>
    <row r="28" spans="1:8" x14ac:dyDescent="0.25">
      <c r="A28" s="1653"/>
      <c r="B28" s="1666"/>
      <c r="C28" s="1654"/>
      <c r="D28" s="1842"/>
      <c r="E28" s="1540">
        <f t="shared" si="2"/>
        <v>0</v>
      </c>
      <c r="F28" s="1935">
        <f t="shared" si="5"/>
        <v>0</v>
      </c>
      <c r="G28" s="1792">
        <f t="shared" si="3"/>
        <v>0</v>
      </c>
    </row>
    <row r="29" spans="1:8" x14ac:dyDescent="0.25">
      <c r="A29" s="1653"/>
      <c r="B29" s="1666"/>
      <c r="C29" s="1654"/>
      <c r="D29" s="1842"/>
      <c r="E29" s="1540">
        <f t="shared" si="2"/>
        <v>0</v>
      </c>
      <c r="F29" s="1935">
        <f t="shared" si="5"/>
        <v>0</v>
      </c>
      <c r="G29" s="1792">
        <f t="shared" si="3"/>
        <v>0</v>
      </c>
    </row>
    <row r="30" spans="1:8" x14ac:dyDescent="0.25">
      <c r="A30" s="1653"/>
      <c r="B30" s="1666"/>
      <c r="C30" s="1654"/>
      <c r="D30" s="1842"/>
      <c r="E30" s="1540">
        <f t="shared" si="2"/>
        <v>0</v>
      </c>
      <c r="F30" s="1935">
        <f t="shared" si="5"/>
        <v>0</v>
      </c>
      <c r="G30" s="1792">
        <f t="shared" si="3"/>
        <v>0</v>
      </c>
    </row>
    <row r="31" spans="1:8" x14ac:dyDescent="0.25">
      <c r="A31" s="1653"/>
      <c r="B31" s="1666"/>
      <c r="C31" s="1654"/>
      <c r="D31" s="1842"/>
      <c r="E31" s="1540">
        <f t="shared" si="2"/>
        <v>0</v>
      </c>
      <c r="F31" s="1935">
        <f t="shared" si="5"/>
        <v>0</v>
      </c>
      <c r="G31" s="1792">
        <f t="shared" si="3"/>
        <v>0</v>
      </c>
    </row>
    <row r="32" spans="1:8" x14ac:dyDescent="0.25">
      <c r="A32" s="1653"/>
      <c r="B32" s="1666"/>
      <c r="C32" s="1654"/>
      <c r="D32" s="1842"/>
      <c r="E32" s="1540"/>
      <c r="F32" s="1935"/>
      <c r="G32" s="1792"/>
    </row>
    <row r="33" spans="1:7" x14ac:dyDescent="0.25">
      <c r="A33" s="1653"/>
      <c r="B33" s="1666"/>
      <c r="C33" s="1654"/>
      <c r="D33" s="1842"/>
      <c r="E33" s="1540">
        <f t="shared" si="2"/>
        <v>0</v>
      </c>
      <c r="F33" s="1935">
        <f t="shared" si="5"/>
        <v>0</v>
      </c>
      <c r="G33" s="1792">
        <f t="shared" si="3"/>
        <v>0</v>
      </c>
    </row>
    <row r="34" spans="1:7" x14ac:dyDescent="0.25">
      <c r="A34" s="1653"/>
      <c r="B34" s="1666"/>
      <c r="C34" s="1654"/>
      <c r="D34" s="1842"/>
      <c r="E34" s="1540">
        <f t="shared" si="2"/>
        <v>0</v>
      </c>
      <c r="F34" s="1935">
        <f t="shared" si="5"/>
        <v>0</v>
      </c>
      <c r="G34" s="1792">
        <f t="shared" si="3"/>
        <v>0</v>
      </c>
    </row>
    <row r="35" spans="1:7" x14ac:dyDescent="0.25">
      <c r="A35" s="1653"/>
      <c r="B35" s="1666"/>
      <c r="C35" s="1654"/>
      <c r="D35" s="1842"/>
      <c r="E35" s="1540">
        <f t="shared" ref="E35" si="7">IF(D35&lt;=25000,D35,IF(D35&gt;25000,25000,0))</f>
        <v>0</v>
      </c>
      <c r="F35" s="1935">
        <f t="shared" si="5"/>
        <v>0</v>
      </c>
      <c r="G35" s="1792">
        <f t="shared" ref="G35" si="8">IF(F35=0,0,D35-F35)</f>
        <v>0</v>
      </c>
    </row>
    <row r="36" spans="1:7" x14ac:dyDescent="0.25">
      <c r="A36" s="1653"/>
      <c r="B36" s="1665"/>
      <c r="C36" s="1654"/>
      <c r="D36" s="1842"/>
      <c r="E36" s="1540">
        <f t="shared" si="2"/>
        <v>0</v>
      </c>
      <c r="F36" s="1935">
        <f t="shared" si="5"/>
        <v>0</v>
      </c>
      <c r="G36" s="1792">
        <f t="shared" si="3"/>
        <v>0</v>
      </c>
    </row>
    <row r="37" spans="1:7" x14ac:dyDescent="0.25">
      <c r="A37" s="1795" t="s">
        <v>156</v>
      </c>
      <c r="B37" s="1796"/>
      <c r="C37" s="1797"/>
      <c r="D37" s="1793">
        <f>SUM(D18:D36)</f>
        <v>0</v>
      </c>
      <c r="E37" s="1541">
        <f t="shared" si="0"/>
        <v>0</v>
      </c>
      <c r="F37" s="1931">
        <f>SUM(F18:F36)</f>
        <v>0</v>
      </c>
      <c r="G37" s="1794">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6" t="s">
        <v>1975</v>
      </c>
      <c r="B11" s="2287"/>
      <c r="C11" s="2287"/>
      <c r="D11" s="2288"/>
      <c r="E11" s="977"/>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8052</v>
      </c>
      <c r="F19" s="1798"/>
      <c r="G19" s="1800">
        <f>'Expenditures 15-22'!K33-SUM('Expenditures 15-22'!G33,'Expenditures 15-22'!I33)+'Expenditures 15-22'!D229</f>
        <v>8052</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1746</v>
      </c>
      <c r="F21" s="1801"/>
      <c r="G21" s="1804">
        <f>'Expenditures 15-22'!K42-SUM('Expenditures 15-22'!G42,'Expenditures 15-22'!I42)+'Expenditures 15-22'!K120-SUM('Expenditures 15-22'!G120,'Expenditures 15-22'!I120)+'Expenditures 15-22'!K180-SUM('Expenditures 15-22'!G180,'Expenditures 15-22'!I180)+'Expenditures 15-22'!D238</f>
        <v>1746</v>
      </c>
      <c r="H21" s="987"/>
      <c r="I21" s="162"/>
    </row>
    <row r="22" spans="1:9" s="668" customFormat="1" ht="12" customHeight="1" x14ac:dyDescent="0.2">
      <c r="A22" s="994" t="s">
        <v>564</v>
      </c>
      <c r="B22" s="995"/>
      <c r="C22" s="993">
        <v>2200</v>
      </c>
      <c r="D22" s="1801"/>
      <c r="E22" s="1803">
        <f>'Expenditures 15-22'!K47-SUM('Expenditures 15-22'!G47,'Expenditures 15-22'!I47)+'Expenditures 15-22'!D243</f>
        <v>22105</v>
      </c>
      <c r="F22" s="1801"/>
      <c r="G22" s="1804">
        <f>'Expenditures 15-22'!K47-SUM('Expenditures 15-22'!G47,'Expenditures 15-22'!I47)+'Expenditures 15-22'!D243</f>
        <v>22105</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6575</v>
      </c>
      <c r="F23" s="1801"/>
      <c r="G23" s="1803">
        <f>'Expenditures 15-22'!K53-SUM('Expenditures 15-22'!G53,'Expenditures 15-22'!I53)+'Expenditures 15-22'!D257+'Expenditures 15-22'!K330-SUM('Expenditures 15-22'!G330,'Expenditures 15-22'!I330)</f>
        <v>6575</v>
      </c>
      <c r="H23" s="987"/>
      <c r="I23" s="162"/>
    </row>
    <row r="24" spans="1:9" s="668" customFormat="1" ht="12" customHeight="1" x14ac:dyDescent="0.2">
      <c r="A24" s="994" t="s">
        <v>566</v>
      </c>
      <c r="B24" s="995"/>
      <c r="C24" s="993">
        <v>2400</v>
      </c>
      <c r="D24" s="1801"/>
      <c r="E24" s="1803">
        <f>'Expenditures 15-22'!K57-SUM('Expenditures 15-22'!G57,'Expenditures 15-22'!I57)+'Expenditures 15-22'!D261</f>
        <v>0</v>
      </c>
      <c r="F24" s="1801"/>
      <c r="G24" s="1804">
        <f>'Expenditures 15-22'!K57-SUM('Expenditures 15-22'!G57,'Expenditures 15-22'!I57)+'Expenditures 15-22'!D261</f>
        <v>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0</v>
      </c>
      <c r="E27" s="1803">
        <f>E8</f>
        <v>0</v>
      </c>
      <c r="F27" s="1803">
        <f>'Expenditures 15-22'!K60-SUM('Expenditures 15-22'!G60,'Expenditures 15-22'!I60)+'Expenditures 15-22'!D264-E8</f>
        <v>0</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0</v>
      </c>
      <c r="F28" s="1805">
        <f>'Expenditures 15-22'!K61-SUM('Expenditures 15-22'!G61,'Expenditures 15-22'!I61)+'Expenditures 15-22'!K124-SUM('Expenditures 15-22'!G124,'Expenditures 15-22'!I124)+'Expenditures 15-22'!D266-E9</f>
        <v>0</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0</v>
      </c>
      <c r="F29" s="1801"/>
      <c r="G29" s="1804">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1"/>
      <c r="E30" s="1803">
        <f>'Expenditures 15-22'!K63-SUM('Expenditures 15-22'!G63,'Expenditures 15-22'!I63)+'Expenditures 15-22'!D268-E10</f>
        <v>0</v>
      </c>
      <c r="F30" s="1801"/>
      <c r="G30" s="1803">
        <f>'Expenditures 15-22'!K63-SUM('Expenditures 15-22'!G63,'Expenditures 15-22'!I63)+'Expenditures 15-22'!D268-E10</f>
        <v>0</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29'!G37</f>
        <v>0</v>
      </c>
      <c r="F40" s="1801"/>
      <c r="G40" s="1805">
        <f>-'Contracts Paid in CY 29'!G37</f>
        <v>0</v>
      </c>
    </row>
    <row r="41" spans="1:7" ht="12" customHeight="1" x14ac:dyDescent="0.2">
      <c r="A41" s="998" t="s">
        <v>156</v>
      </c>
      <c r="B41" s="999"/>
      <c r="C41" s="1000"/>
      <c r="D41" s="1805">
        <f>SUM(D19:D39)</f>
        <v>0</v>
      </c>
      <c r="E41" s="1805">
        <f>SUM(E19:E40)</f>
        <v>38478</v>
      </c>
      <c r="F41" s="1805">
        <f>SUM(F19:F39)</f>
        <v>0</v>
      </c>
      <c r="G41" s="1805">
        <f>SUM(G19:G40)</f>
        <v>38478</v>
      </c>
    </row>
    <row r="42" spans="1:7" x14ac:dyDescent="0.2">
      <c r="A42" s="987"/>
      <c r="B42" s="162"/>
      <c r="C42" s="1001"/>
      <c r="D42" s="2284" t="s">
        <v>522</v>
      </c>
      <c r="E42" s="2285"/>
      <c r="F42" s="1002" t="s">
        <v>523</v>
      </c>
      <c r="G42" s="1003"/>
    </row>
    <row r="43" spans="1:7" ht="12" customHeight="1" x14ac:dyDescent="0.2">
      <c r="A43" s="987"/>
      <c r="B43" s="162"/>
      <c r="C43" s="1001"/>
      <c r="D43" s="1806" t="s">
        <v>473</v>
      </c>
      <c r="E43" s="1807">
        <f>D41</f>
        <v>0</v>
      </c>
      <c r="F43" s="1806" t="s">
        <v>473</v>
      </c>
      <c r="G43" s="1807">
        <f>F41</f>
        <v>0</v>
      </c>
    </row>
    <row r="44" spans="1:7" ht="12" customHeight="1" x14ac:dyDescent="0.2">
      <c r="A44" s="987"/>
      <c r="B44" s="162"/>
      <c r="C44" s="1001"/>
      <c r="D44" s="1806" t="s">
        <v>474</v>
      </c>
      <c r="E44" s="1807">
        <f>E41</f>
        <v>38478</v>
      </c>
      <c r="F44" s="1806" t="s">
        <v>474</v>
      </c>
      <c r="G44" s="1807">
        <f>G41</f>
        <v>38478</v>
      </c>
    </row>
    <row r="45" spans="1:7" ht="12" customHeight="1" x14ac:dyDescent="0.2">
      <c r="A45" s="987"/>
      <c r="B45" s="162"/>
      <c r="C45" s="162"/>
      <c r="D45" s="1808" t="s">
        <v>1006</v>
      </c>
      <c r="E45" s="1809">
        <f>(E43/E44)</f>
        <v>0</v>
      </c>
      <c r="F45" s="1808" t="s">
        <v>1006</v>
      </c>
      <c r="G45" s="1809">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A13" sqref="A13:H13"/>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3" t="s">
        <v>1379</v>
      </c>
      <c r="B1" s="2303"/>
      <c r="C1" s="2303"/>
      <c r="D1" s="2303"/>
      <c r="E1" s="2303"/>
      <c r="F1" s="2303"/>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304" t="s">
        <v>1546</v>
      </c>
      <c r="B5" s="2305"/>
      <c r="C5" s="2306"/>
      <c r="D5" s="2306"/>
      <c r="E5" s="2306"/>
      <c r="F5" s="2306"/>
    </row>
    <row r="6" spans="1:10" ht="12" customHeight="1" x14ac:dyDescent="0.25">
      <c r="A6" s="1848"/>
      <c r="B6" s="1849"/>
      <c r="C6" s="2307" t="str">
        <f>COVER!A17</f>
        <v>Rend Lake Area Reg Del System</v>
      </c>
      <c r="D6" s="2307"/>
      <c r="E6" s="2307"/>
      <c r="F6" s="1850"/>
    </row>
    <row r="7" spans="1:10" ht="11.25" customHeight="1" thickBot="1" x14ac:dyDescent="0.3">
      <c r="A7" s="1848"/>
      <c r="B7" s="1849"/>
      <c r="C7" s="2308">
        <f>COVER!A13</f>
        <v>13000000047</v>
      </c>
      <c r="D7" s="2308"/>
      <c r="E7" s="2308"/>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t="s">
        <v>2065</v>
      </c>
      <c r="D25" s="1863" t="s">
        <v>2065</v>
      </c>
      <c r="E25" s="1866" t="s">
        <v>2065</v>
      </c>
      <c r="F25" s="1865" t="s">
        <v>2087</v>
      </c>
      <c r="H25" s="1876">
        <f t="shared" si="0"/>
        <v>5</v>
      </c>
      <c r="I25" s="1876">
        <f t="shared" si="1"/>
        <v>5</v>
      </c>
      <c r="J25" s="1876">
        <f t="shared" si="2"/>
        <v>5</v>
      </c>
    </row>
    <row r="26" spans="1:12" ht="12" customHeight="1" x14ac:dyDescent="0.2">
      <c r="A26" s="1861" t="s">
        <v>1534</v>
      </c>
      <c r="B26" s="1862"/>
      <c r="C26" s="1863"/>
      <c r="D26" s="1863"/>
      <c r="E26" s="1866"/>
      <c r="F26" s="1865"/>
      <c r="H26" s="1876">
        <f t="shared" si="0"/>
        <v>0</v>
      </c>
      <c r="I26" s="1876">
        <f t="shared" si="1"/>
        <v>0</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5</v>
      </c>
      <c r="I34" s="1876">
        <f>SUM(I11:I32)</f>
        <v>5</v>
      </c>
      <c r="J34" s="1876">
        <f>SUM(J11:J32)</f>
        <v>5</v>
      </c>
      <c r="K34" s="1876">
        <f>SUM(H34:J34)</f>
        <v>15</v>
      </c>
    </row>
    <row r="35" spans="1:11" ht="12" customHeight="1" x14ac:dyDescent="0.2">
      <c r="A35" s="1869" t="s">
        <v>1392</v>
      </c>
      <c r="B35" s="1870"/>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1"/>
      <c r="B39" s="1871"/>
      <c r="C39" s="1871"/>
      <c r="D39" s="1871"/>
      <c r="E39" s="1871"/>
      <c r="F39" s="1871"/>
    </row>
    <row r="40" spans="1:11" s="1868" customFormat="1" ht="12" customHeight="1" x14ac:dyDescent="0.25">
      <c r="A40" s="1872" t="s">
        <v>1391</v>
      </c>
      <c r="B40" s="1873"/>
      <c r="C40" s="2298"/>
      <c r="D40" s="2298"/>
      <c r="E40" s="2298"/>
      <c r="F40" s="2299"/>
      <c r="H40" s="1877"/>
      <c r="I40" s="1877"/>
      <c r="J40" s="1877"/>
      <c r="K40" s="1877"/>
    </row>
    <row r="41" spans="1:11" s="1868" customFormat="1" ht="12" customHeight="1" x14ac:dyDescent="0.25">
      <c r="A41" s="2300"/>
      <c r="B41" s="2301"/>
      <c r="C41" s="2301"/>
      <c r="D41" s="2301"/>
      <c r="E41" s="2301"/>
      <c r="F41" s="2302"/>
      <c r="H41" s="1877"/>
      <c r="I41" s="1877"/>
      <c r="J41" s="1877"/>
      <c r="K41" s="1877"/>
    </row>
    <row r="42" spans="1:11" s="1868" customFormat="1" ht="12" customHeight="1" x14ac:dyDescent="0.25">
      <c r="A42" s="2300"/>
      <c r="B42" s="2301"/>
      <c r="C42" s="2301"/>
      <c r="D42" s="2301"/>
      <c r="E42" s="2301"/>
      <c r="F42" s="2302"/>
      <c r="H42" s="1877"/>
      <c r="I42" s="1877"/>
      <c r="J42" s="1877"/>
      <c r="K42" s="1877"/>
    </row>
    <row r="43" spans="1:11" s="1868" customFormat="1" ht="15" x14ac:dyDescent="0.25">
      <c r="A43" s="2289"/>
      <c r="B43" s="2290"/>
      <c r="C43" s="2290"/>
      <c r="D43" s="2290"/>
      <c r="E43" s="2290"/>
      <c r="F43" s="2291"/>
      <c r="H43" s="1877"/>
      <c r="I43" s="1877"/>
      <c r="J43" s="1877"/>
      <c r="K43" s="1877"/>
    </row>
    <row r="44" spans="1:11" s="1868" customFormat="1" ht="12" hidden="1" customHeight="1" x14ac:dyDescent="0.25">
      <c r="A44" s="2289"/>
      <c r="B44" s="2290"/>
      <c r="C44" s="2290"/>
      <c r="D44" s="2290"/>
      <c r="E44" s="2290"/>
      <c r="F44" s="2291"/>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B31" sqref="B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2"/>
      <c r="C6" s="1642"/>
      <c r="D6" s="1642"/>
      <c r="E6" s="1643"/>
      <c r="F6" s="1015"/>
      <c r="G6" s="1009"/>
      <c r="H6" s="1016" t="s">
        <v>1028</v>
      </c>
      <c r="I6" s="2316" t="str">
        <f>COVER!A17</f>
        <v>Rend Lake Area Reg Del System</v>
      </c>
      <c r="J6" s="2317"/>
      <c r="Q6" s="1663"/>
    </row>
    <row r="7" spans="1:17" x14ac:dyDescent="0.2">
      <c r="A7" s="2318" t="s">
        <v>869</v>
      </c>
      <c r="B7" s="2319"/>
      <c r="C7" s="2319"/>
      <c r="D7" s="2319"/>
      <c r="E7" s="2320"/>
      <c r="F7" s="1017"/>
      <c r="G7" s="1009"/>
      <c r="H7" s="1016" t="s">
        <v>372</v>
      </c>
      <c r="I7" s="2321">
        <f>COVER!A13</f>
        <v>13000000047</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6575</v>
      </c>
      <c r="F12" s="1039"/>
      <c r="G12" s="1810">
        <f t="shared" ref="G12:G18" si="0">SUM(E12:F12)</f>
        <v>6575</v>
      </c>
      <c r="H12" s="1040"/>
      <c r="I12" s="1039"/>
      <c r="J12" s="1810">
        <f t="shared" ref="J12:J18" si="1">SUM(H12:I12)</f>
        <v>0</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5" t="s">
        <v>7</v>
      </c>
      <c r="C18" s="2326"/>
      <c r="D18" s="2327"/>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6575</v>
      </c>
      <c r="F19" s="1812">
        <f t="shared" si="2"/>
        <v>0</v>
      </c>
      <c r="G19" s="1812">
        <f t="shared" si="2"/>
        <v>6575</v>
      </c>
      <c r="H19" s="1812">
        <f t="shared" si="2"/>
        <v>0</v>
      </c>
      <c r="I19" s="1812">
        <f t="shared" si="2"/>
        <v>0</v>
      </c>
      <c r="J19" s="1812">
        <f t="shared" si="2"/>
        <v>0</v>
      </c>
    </row>
    <row r="20" spans="1:10" ht="13.5" thickTop="1" x14ac:dyDescent="0.2">
      <c r="A20" s="1035">
        <v>9</v>
      </c>
      <c r="B20" s="2328" t="s">
        <v>1979</v>
      </c>
      <c r="C20" s="2328"/>
      <c r="D20" s="2329"/>
      <c r="E20" s="1046"/>
      <c r="F20" s="1046"/>
      <c r="G20" s="1046"/>
      <c r="H20" s="1046"/>
      <c r="I20" s="1046"/>
      <c r="J20" s="1813"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1981</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H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row>
    <row r="7" spans="1:2" x14ac:dyDescent="0.2">
      <c r="A7" s="1068">
        <v>2</v>
      </c>
      <c r="B7" s="329" t="s">
        <v>2089</v>
      </c>
    </row>
    <row r="8" spans="1:2" x14ac:dyDescent="0.2">
      <c r="A8" s="1068"/>
    </row>
    <row r="9" spans="1:2" x14ac:dyDescent="0.2">
      <c r="A9" s="1069">
        <v>3</v>
      </c>
      <c r="B9" s="329" t="s">
        <v>2090</v>
      </c>
    </row>
    <row r="10" spans="1:2" x14ac:dyDescent="0.2">
      <c r="A10" s="1069"/>
    </row>
    <row r="11" spans="1:2" x14ac:dyDescent="0.2">
      <c r="A11" s="1069">
        <v>4</v>
      </c>
      <c r="B11" s="329" t="s">
        <v>2091</v>
      </c>
    </row>
    <row r="12" spans="1:2" x14ac:dyDescent="0.2">
      <c r="A12" s="1069" t="s">
        <v>2092</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Rend Lake Area Reg Del System</v>
      </c>
    </row>
    <row r="65" spans="2:2" x14ac:dyDescent="0.2">
      <c r="B65" s="1070">
        <f>COVER!A13</f>
        <v>13000000047</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31" sqref="B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1104900</xdr:colOff>
                <xdr:row>5</xdr:row>
                <xdr:rowOff>9525</xdr:rowOff>
              </from>
              <to>
                <xdr:col>1</xdr:col>
                <xdr:colOff>2019300</xdr:colOff>
                <xdr:row>9</xdr:row>
                <xdr:rowOff>47625</xdr:rowOff>
              </to>
            </anchor>
          </objectPr>
        </oleObject>
      </mc:Choice>
      <mc:Fallback>
        <oleObject progId="Acrobat Document" dvAspect="DVASPECT_ICON" shapeId="5120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31" sqref="B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1985</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1986</v>
      </c>
      <c r="B4" s="2356"/>
      <c r="C4" s="2356"/>
      <c r="D4" s="2356"/>
      <c r="E4" s="2356"/>
      <c r="F4" s="2357"/>
      <c r="G4" s="1074"/>
      <c r="H4" s="1074"/>
    </row>
    <row r="5" spans="1:8" ht="14.25" customHeight="1" x14ac:dyDescent="0.2">
      <c r="A5" s="2358" t="s">
        <v>1982</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442852</v>
      </c>
      <c r="C8" s="1814">
        <f>'Acct Summary 7-8'!D8</f>
        <v>0</v>
      </c>
      <c r="D8" s="1814">
        <f>'Acct Summary 7-8'!F8</f>
        <v>0</v>
      </c>
      <c r="E8" s="1814">
        <f>'Acct Summary 7-8'!I8</f>
        <v>0</v>
      </c>
      <c r="F8" s="1814">
        <f>SUM(B8:E8)</f>
        <v>442852</v>
      </c>
    </row>
    <row r="9" spans="1:8" s="1079" customFormat="1" ht="14.25" customHeight="1" thickBot="1" x14ac:dyDescent="0.25">
      <c r="A9" s="1078" t="s">
        <v>1369</v>
      </c>
      <c r="B9" s="1815">
        <f>'Acct Summary 7-8'!C17</f>
        <v>394899</v>
      </c>
      <c r="C9" s="1815">
        <f>'Acct Summary 7-8'!D17</f>
        <v>0</v>
      </c>
      <c r="D9" s="1815">
        <f>'Acct Summary 7-8'!F17</f>
        <v>0</v>
      </c>
      <c r="E9" s="1814"/>
      <c r="F9" s="1814">
        <f>SUM(B9:E9)</f>
        <v>394899</v>
      </c>
    </row>
    <row r="10" spans="1:8" s="1079" customFormat="1" ht="14.25" thickTop="1" thickBot="1" x14ac:dyDescent="0.25">
      <c r="A10" s="1080" t="s">
        <v>1370</v>
      </c>
      <c r="B10" s="1816">
        <f>(B8-B9)</f>
        <v>47953</v>
      </c>
      <c r="C10" s="1816">
        <f>(C8-C9)</f>
        <v>0</v>
      </c>
      <c r="D10" s="1816">
        <f>(D8-D9)</f>
        <v>0</v>
      </c>
      <c r="E10" s="1815">
        <f>(E8-E9)</f>
        <v>0</v>
      </c>
      <c r="F10" s="1817">
        <f>SUM(F8-F9)</f>
        <v>47953</v>
      </c>
    </row>
    <row r="11" spans="1:8" s="1079" customFormat="1" ht="14.25" thickTop="1" thickBot="1" x14ac:dyDescent="0.25">
      <c r="A11" s="1081" t="s">
        <v>1983</v>
      </c>
      <c r="B11" s="1818">
        <f>'Acct Summary 7-8'!C81</f>
        <v>52957</v>
      </c>
      <c r="C11" s="1818">
        <f>'Acct Summary 7-8'!D81</f>
        <v>0</v>
      </c>
      <c r="D11" s="1818">
        <f>'Acct Summary 7-8'!F81</f>
        <v>0</v>
      </c>
      <c r="E11" s="1818">
        <f>'Acct Summary 7-8'!I81</f>
        <v>0</v>
      </c>
      <c r="F11" s="1819">
        <f>SUM(B11:E11)</f>
        <v>52957</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1" colorId="8" zoomScale="110" zoomScaleNormal="110" workbookViewId="0">
      <selection activeCell="A13" sqref="A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13000000047</v>
      </c>
    </row>
    <row r="3" spans="1:2" x14ac:dyDescent="0.2">
      <c r="A3" t="s">
        <v>956</v>
      </c>
      <c r="B3" s="138" t="str">
        <f>COVER!A15</f>
        <v>JEFFERSON</v>
      </c>
    </row>
    <row r="4" spans="1:2" x14ac:dyDescent="0.2">
      <c r="A4" t="s">
        <v>1007</v>
      </c>
      <c r="B4" s="138" t="str">
        <f>COVER!A17</f>
        <v>Rend Lake Area Reg Del System</v>
      </c>
    </row>
    <row r="5" spans="1:2" x14ac:dyDescent="0.2">
      <c r="A5" t="s">
        <v>704</v>
      </c>
      <c r="B5" s="138" t="str">
        <f>COVER!A38</f>
        <v>RON DANIELS, ADMINISTRATIVE AGENT</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52957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5081</v>
      </c>
      <c r="D92" s="2" t="str">
        <f t="shared" si="0"/>
        <v>Error?</v>
      </c>
    </row>
    <row r="93" spans="1:4" x14ac:dyDescent="0.2">
      <c r="A93" s="5">
        <v>32</v>
      </c>
      <c r="B93" s="138">
        <f>'Assets-Liab 5-6'!C41</f>
        <v>52957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568662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568662</v>
      </c>
      <c r="C279" s="2" t="s">
        <v>573</v>
      </c>
      <c r="D279" s="2" t="str">
        <f t="shared" si="3"/>
        <v>Error?</v>
      </c>
    </row>
    <row r="280" spans="1:4" x14ac:dyDescent="0.2">
      <c r="A280" s="5">
        <v>219</v>
      </c>
      <c r="B280" s="138">
        <f>'Assets-Liab 5-6'!M40</f>
        <v>568662</v>
      </c>
      <c r="D280" s="2" t="str">
        <f t="shared" si="3"/>
        <v>Error?</v>
      </c>
    </row>
    <row r="281" spans="1:4" x14ac:dyDescent="0.2">
      <c r="A281" s="5">
        <v>220</v>
      </c>
      <c r="B281" s="138">
        <f>'Assets-Liab 5-6'!M41</f>
        <v>568662</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15500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15500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15500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15500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2629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2629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2629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2629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3976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3976</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3806</v>
      </c>
      <c r="D849" s="2" t="str">
        <f t="shared" si="12"/>
        <v>Error?</v>
      </c>
    </row>
    <row r="850" spans="1:4" x14ac:dyDescent="0.2">
      <c r="A850" s="5">
        <v>789</v>
      </c>
      <c r="B850" s="138">
        <f>'Expenditures 15-22'!E53</f>
        <v>3806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7782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7782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8052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8052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1746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1746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2769</v>
      </c>
      <c r="D907" s="2" t="str">
        <f t="shared" si="13"/>
        <v>Error?</v>
      </c>
    </row>
    <row r="908" spans="1:4" x14ac:dyDescent="0.2">
      <c r="A908" s="5">
        <v>847</v>
      </c>
      <c r="B908" s="138">
        <f>'Expenditures 15-22'!F53</f>
        <v>2769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4515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12567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16414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16414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16414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340007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340007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24466</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24466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1746</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1746</v>
      </c>
      <c r="C1115" s="2" t="s">
        <v>573</v>
      </c>
      <c r="D1115" s="2" t="str">
        <f t="shared" si="16"/>
        <v>Error?</v>
      </c>
    </row>
    <row r="1116" spans="1:4" x14ac:dyDescent="0.2">
      <c r="A1116" s="5">
        <v>1055</v>
      </c>
      <c r="B1116" s="138">
        <f>'Expenditures 15-22'!K44</f>
        <v>22105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22105</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6575</v>
      </c>
      <c r="C1121" s="2" t="s">
        <v>573</v>
      </c>
      <c r="D1121" s="2" t="str">
        <f t="shared" si="16"/>
        <v>Error?</v>
      </c>
    </row>
    <row r="1122" spans="1:4" x14ac:dyDescent="0.2">
      <c r="A1122" s="5">
        <v>1061</v>
      </c>
      <c r="B1122" s="138">
        <f>'Expenditures 15-22'!K53</f>
        <v>6575</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30426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340007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394899</v>
      </c>
      <c r="C1152" s="2" t="s">
        <v>573</v>
      </c>
      <c r="D1152" s="2" t="str">
        <f t="shared" si="17"/>
        <v>Error?</v>
      </c>
    </row>
    <row r="1153" spans="1:4" x14ac:dyDescent="0.2">
      <c r="A1153" s="5">
        <v>1092</v>
      </c>
      <c r="B1153" s="138">
        <f>'Expenditures 15-22'!K115</f>
        <v>47953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5004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52957</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590997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590997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16414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16414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38749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38749</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568662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568662</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305668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305668</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56866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56866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38749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38749</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323785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323785</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244877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244877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47876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1924</v>
      </c>
      <c r="C2551" s="2" t="s">
        <v>573</v>
      </c>
      <c r="D2551" s="2" t="str">
        <f t="shared" si="38"/>
        <v>Error?</v>
      </c>
    </row>
    <row r="2552" spans="1:4" x14ac:dyDescent="0.2">
      <c r="A2552" s="10">
        <v>2491</v>
      </c>
      <c r="D2552" s="2" t="str">
        <f t="shared" si="38"/>
        <v>OK</v>
      </c>
    </row>
    <row r="2553" spans="1:4" x14ac:dyDescent="0.2">
      <c r="A2553" s="5">
        <v>2492</v>
      </c>
      <c r="B2553" s="138">
        <f>'Acct Summary 7-8'!C6</f>
        <v>96423</v>
      </c>
      <c r="C2553" s="2" t="s">
        <v>573</v>
      </c>
      <c r="D2553" s="2" t="str">
        <f t="shared" si="38"/>
        <v>Error?</v>
      </c>
    </row>
    <row r="2554" spans="1:4" x14ac:dyDescent="0.2">
      <c r="A2554" s="5">
        <v>2493</v>
      </c>
      <c r="B2554" s="138">
        <f>'Acct Summary 7-8'!C7</f>
        <v>4498</v>
      </c>
      <c r="C2554" s="2" t="s">
        <v>573</v>
      </c>
      <c r="D2554" s="2" t="str">
        <f t="shared" si="38"/>
        <v>Error?</v>
      </c>
    </row>
    <row r="2555" spans="1:4" x14ac:dyDescent="0.2">
      <c r="A2555" s="5">
        <v>2494</v>
      </c>
      <c r="B2555" s="138">
        <f>'Acct Summary 7-8'!C8</f>
        <v>442852</v>
      </c>
      <c r="C2555" s="2" t="s">
        <v>573</v>
      </c>
      <c r="D2555" s="2" t="str">
        <f t="shared" si="38"/>
        <v>Error?</v>
      </c>
    </row>
    <row r="2556" spans="1:4" x14ac:dyDescent="0.2">
      <c r="A2556" s="5">
        <v>2495</v>
      </c>
      <c r="B2556" s="138">
        <f>'Acct Summary 7-8'!C12</f>
        <v>24466</v>
      </c>
      <c r="C2556" s="2" t="s">
        <v>573</v>
      </c>
      <c r="D2556" s="2" t="str">
        <f t="shared" si="38"/>
        <v>Error?</v>
      </c>
    </row>
    <row r="2557" spans="1:4" x14ac:dyDescent="0.2">
      <c r="A2557" s="5">
        <v>2496</v>
      </c>
      <c r="B2557" s="138">
        <f>'Acct Summary 7-8'!C13</f>
        <v>30426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340007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394899</v>
      </c>
      <c r="C2561" s="2" t="s">
        <v>573</v>
      </c>
      <c r="D2561" s="2" t="str">
        <f t="shared" si="39"/>
        <v>Error?</v>
      </c>
    </row>
    <row r="2562" spans="1:4" x14ac:dyDescent="0.2">
      <c r="A2562" s="5">
        <v>2501</v>
      </c>
      <c r="B2562" s="138">
        <f>'Acct Summary 7-8'!C20</f>
        <v>47953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47953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340007</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52957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442852</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394899</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52957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4498</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1703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1703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221</v>
      </c>
      <c r="C5120" s="2" t="s">
        <v>573</v>
      </c>
      <c r="D5120" s="2" t="str">
        <f t="shared" si="79"/>
        <v>Error?</v>
      </c>
    </row>
    <row r="5121" spans="1:4" x14ac:dyDescent="0.2">
      <c r="A5121" s="5">
        <v>5060</v>
      </c>
      <c r="B5121" s="138">
        <f>'Revenues 9-14'!C109</f>
        <v>1924</v>
      </c>
      <c r="C5121" s="2" t="s">
        <v>573</v>
      </c>
      <c r="D5121" s="2" t="str">
        <f t="shared" si="79"/>
        <v>Error?</v>
      </c>
    </row>
    <row r="5122" spans="1:4" x14ac:dyDescent="0.2">
      <c r="A5122" s="5">
        <v>5061</v>
      </c>
      <c r="B5122" s="138">
        <f>'Revenues 9-14'!C111</f>
        <v>241451</v>
      </c>
      <c r="D5122" s="2" t="str">
        <f t="shared" si="79"/>
        <v>Error?</v>
      </c>
    </row>
    <row r="5123" spans="1:4" x14ac:dyDescent="0.2">
      <c r="A5123" s="5">
        <v>5062</v>
      </c>
      <c r="B5123" s="138">
        <f>'Revenues 9-14'!C112</f>
        <v>98556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340007</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96423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96423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96423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96423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4498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4498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4498</v>
      </c>
      <c r="C5326" s="2" t="s">
        <v>573</v>
      </c>
      <c r="D5326" s="2" t="str">
        <f t="shared" si="82"/>
        <v>Error?</v>
      </c>
    </row>
    <row r="5327" spans="1:5" x14ac:dyDescent="0.2">
      <c r="A5327" s="5">
        <v>5266</v>
      </c>
      <c r="B5327" s="138">
        <f>'Revenues 9-14'!C268</f>
        <v>442852</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47953</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0.9055082425363975</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340007</v>
      </c>
      <c r="D7002" s="2" t="str">
        <f t="shared" si="108"/>
        <v>Error?</v>
      </c>
    </row>
    <row r="7003" spans="1:4" x14ac:dyDescent="0.2">
      <c r="A7003">
        <v>6942</v>
      </c>
      <c r="B7003" s="138">
        <f>'Expenditures 15-22'!K96</f>
        <v>340007</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340007</v>
      </c>
      <c r="D7012" s="2" t="str">
        <f t="shared" si="108"/>
        <v>Error?</v>
      </c>
    </row>
    <row r="7013" spans="1:4" x14ac:dyDescent="0.2">
      <c r="A7013">
        <v>6952</v>
      </c>
      <c r="B7013" s="138">
        <f>'Expenditures 15-22'!K100</f>
        <v>340007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56866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0</v>
      </c>
      <c r="D7797" s="2" t="str">
        <f t="shared" si="127"/>
        <v>Error?</v>
      </c>
      <c r="E7797" s="4" t="s">
        <v>1903</v>
      </c>
    </row>
    <row r="7798" spans="1:5" x14ac:dyDescent="0.2">
      <c r="A7798">
        <v>7737</v>
      </c>
      <c r="B7798" s="138">
        <f>'Contracts Paid in CY 29'!F37</f>
        <v>0</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1987</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Rend Lake Area Reg Del System</v>
      </c>
      <c r="B7" s="2384"/>
      <c r="C7" s="2384"/>
      <c r="D7" s="2421"/>
      <c r="E7" s="2422">
        <f>COVER!A13</f>
        <v>13000000047</v>
      </c>
      <c r="F7" s="2423"/>
      <c r="G7" s="2390" t="str">
        <f>COVER!T23</f>
        <v>066-004957</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SUSAN J. LYONS, CPA, P.C.</v>
      </c>
      <c r="H9" s="2397"/>
      <c r="I9" s="2397"/>
      <c r="J9" s="2397"/>
      <c r="K9" s="2397"/>
      <c r="L9" s="2398"/>
    </row>
    <row r="10" spans="1:29" ht="13.5" customHeight="1" x14ac:dyDescent="0.2">
      <c r="A10" s="2380" t="str">
        <f>COVER!A38</f>
        <v>RON DANIELS, ADMINISTRATIVE AGENT</v>
      </c>
      <c r="B10" s="2381"/>
      <c r="C10" s="2381"/>
      <c r="D10" s="2381"/>
      <c r="E10" s="2381"/>
      <c r="F10" s="2382"/>
      <c r="G10" s="2396" t="str">
        <f>COVER!T17</f>
        <v>5859 U.S. HIGHWAY 51</v>
      </c>
      <c r="H10" s="2409"/>
      <c r="I10" s="2409"/>
      <c r="J10" s="2409"/>
      <c r="K10" s="2409"/>
      <c r="L10" s="2410"/>
    </row>
    <row r="11" spans="1:29" ht="13.5" customHeight="1" x14ac:dyDescent="0.2">
      <c r="A11" s="1184" t="s">
        <v>1519</v>
      </c>
      <c r="B11" s="1185"/>
      <c r="C11" s="1186"/>
      <c r="D11" s="1191"/>
      <c r="E11" s="1186"/>
      <c r="F11" s="1190"/>
      <c r="G11" s="2396" t="str">
        <f>COVER!T19</f>
        <v>ODIN</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slyons1007@gmail.com</v>
      </c>
      <c r="J13" s="2418"/>
      <c r="K13" s="2418"/>
      <c r="L13" s="2419"/>
    </row>
    <row r="14" spans="1:29" ht="13.5" customHeight="1" x14ac:dyDescent="0.2">
      <c r="A14" s="2396" t="str">
        <f>COVER!A19</f>
        <v>1714 BROADWAY</v>
      </c>
      <c r="B14" s="2409"/>
      <c r="C14" s="2409"/>
      <c r="D14" s="2409"/>
      <c r="E14" s="2409"/>
      <c r="F14" s="2410"/>
      <c r="G14" s="1195" t="s">
        <v>1185</v>
      </c>
      <c r="H14" s="1193"/>
      <c r="I14" s="1193"/>
      <c r="J14" s="1193"/>
      <c r="K14" s="1193"/>
      <c r="L14" s="1194"/>
    </row>
    <row r="15" spans="1:29" ht="13.5" customHeight="1" x14ac:dyDescent="0.2">
      <c r="A15" s="2396" t="str">
        <f>COVER!A21</f>
        <v>MT. VERNON</v>
      </c>
      <c r="B15" s="2409"/>
      <c r="C15" s="2409"/>
      <c r="D15" s="2409"/>
      <c r="E15" s="2409"/>
      <c r="F15" s="2410"/>
      <c r="G15" s="2406" t="str">
        <f>COVER!T15</f>
        <v>SUSAN J. LYONS</v>
      </c>
      <c r="H15" s="2407"/>
      <c r="I15" s="2407"/>
      <c r="J15" s="2407"/>
      <c r="K15" s="2407"/>
      <c r="L15" s="2408"/>
    </row>
    <row r="16" spans="1:29" ht="12.2" customHeight="1" x14ac:dyDescent="0.2">
      <c r="A16" s="2386">
        <f>COVER!A25</f>
        <v>62864</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618-267-3213</v>
      </c>
      <c r="H18" s="2384"/>
      <c r="I18" s="2384"/>
      <c r="J18" s="2384"/>
      <c r="K18" s="2383" t="str">
        <f>COVER!X21</f>
        <v>618-247-3208</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Rend Lake Area Reg Del System</v>
      </c>
      <c r="B1" s="2420"/>
      <c r="C1" s="2420"/>
      <c r="D1" s="2420"/>
    </row>
    <row r="2" spans="1:11" s="1212" customFormat="1" ht="12.75" x14ac:dyDescent="0.2">
      <c r="A2" s="2425">
        <f>'Single Audit Cover'!E7</f>
        <v>13000000047</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Rend Lake Area Reg Del System</v>
      </c>
      <c r="B1" s="2428"/>
      <c r="C1" s="2428"/>
      <c r="D1" s="2428"/>
      <c r="E1" s="2428"/>
    </row>
    <row r="2" spans="1:5" x14ac:dyDescent="0.2">
      <c r="A2" s="2429">
        <f>'Single Audit Cover'!E7</f>
        <v>13000000047</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4498</v>
      </c>
    </row>
    <row r="11" spans="1:5" ht="18" customHeight="1" x14ac:dyDescent="0.2">
      <c r="A11" s="1258" t="s">
        <v>1240</v>
      </c>
      <c r="B11" s="1259"/>
      <c r="C11" s="1259"/>
    </row>
    <row r="12" spans="1:5" x14ac:dyDescent="0.2">
      <c r="A12" s="1258" t="s">
        <v>1239</v>
      </c>
      <c r="B12" s="1259" t="s">
        <v>1238</v>
      </c>
      <c r="C12" s="1259"/>
      <c r="D12" s="1261">
        <f>SUM('Revenues 9-14'!C112:D112,'Revenues 9-14'!F112:G112)</f>
        <v>98556</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103054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103054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103054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Rend Lake Area Reg Del System</v>
      </c>
      <c r="C1" s="2432"/>
      <c r="D1" s="2432"/>
      <c r="E1" s="2432"/>
      <c r="F1" s="2432"/>
      <c r="G1" s="2432"/>
      <c r="H1" s="2432"/>
      <c r="I1" s="2432"/>
      <c r="J1" s="2432"/>
      <c r="K1" s="2432"/>
      <c r="L1" s="2432"/>
      <c r="M1" s="2432"/>
    </row>
    <row r="2" spans="2:14" ht="15" x14ac:dyDescent="0.2">
      <c r="B2" s="2433">
        <f>'Single Audit Cover'!E7</f>
        <v>13000000047</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Rend Lake Area Reg Del System</v>
      </c>
      <c r="B1" s="2437"/>
      <c r="C1" s="2437"/>
      <c r="D1" s="2437"/>
      <c r="E1" s="2437"/>
      <c r="F1" s="2437"/>
    </row>
    <row r="2" spans="1:7" ht="13.5" customHeight="1" x14ac:dyDescent="0.2">
      <c r="A2" s="2433">
        <f>'Single Audit Cover'!E7</f>
        <v>13000000047</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4" t="s">
        <v>1270</v>
      </c>
      <c r="D15" s="2441" t="s">
        <v>1269</v>
      </c>
      <c r="E15" s="2441"/>
      <c r="F15" s="2441"/>
    </row>
    <row r="16" spans="1:7" ht="13.5" customHeight="1" x14ac:dyDescent="0.2">
      <c r="A16" s="1279"/>
      <c r="B16" s="1273" t="s">
        <v>1268</v>
      </c>
      <c r="C16" s="1844"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1"/>
      <c r="E30" s="1283"/>
    </row>
    <row r="31" spans="1:6" ht="12" customHeight="1" x14ac:dyDescent="0.2">
      <c r="A31" s="1284" t="s">
        <v>1549</v>
      </c>
      <c r="B31" s="328"/>
      <c r="C31" s="1462"/>
      <c r="D31" s="1901"/>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1"/>
      <c r="E33" s="1283"/>
    </row>
    <row r="34" spans="1:6" ht="13.5" customHeight="1" x14ac:dyDescent="0.2">
      <c r="A34" s="328" t="s">
        <v>1838</v>
      </c>
      <c r="B34" s="328"/>
      <c r="C34" s="1286">
        <v>0</v>
      </c>
      <c r="D34" s="1901" t="s">
        <v>1589</v>
      </c>
      <c r="E34" s="2445">
        <f>+C33+C34</f>
        <v>0</v>
      </c>
      <c r="F34" s="2446"/>
    </row>
    <row r="35" spans="1:6" ht="12" customHeight="1" x14ac:dyDescent="0.2">
      <c r="A35" s="328"/>
      <c r="B35" s="328"/>
      <c r="C35" s="1902"/>
      <c r="D35" s="1901"/>
      <c r="E35" s="1287"/>
      <c r="F35" s="1288"/>
    </row>
    <row r="36" spans="1:6" ht="13.5" customHeight="1" x14ac:dyDescent="0.2">
      <c r="A36" s="1284" t="s">
        <v>1550</v>
      </c>
      <c r="B36" s="328"/>
      <c r="C36" s="1462"/>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3"/>
      <c r="C50" s="1843"/>
      <c r="D50" s="1843"/>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Rend Lake Area Reg Del System</v>
      </c>
      <c r="C1" s="2453"/>
      <c r="D1" s="2453"/>
      <c r="E1" s="2453"/>
      <c r="F1" s="2453"/>
      <c r="G1" s="2453"/>
      <c r="H1" s="2453"/>
      <c r="I1" s="2453"/>
      <c r="J1" s="1406"/>
    </row>
    <row r="2" spans="2:10" s="317" customFormat="1" ht="12.75" customHeight="1" x14ac:dyDescent="0.2">
      <c r="B2" s="2454">
        <f>'Single Audit Cover'!E7</f>
        <v>13000000047</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2062</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Rend Lake Area Reg Del System</v>
      </c>
      <c r="C1" s="2452"/>
      <c r="D1" s="2452"/>
      <c r="E1" s="2452"/>
      <c r="F1" s="2452"/>
      <c r="G1" s="2452"/>
      <c r="H1" s="2452"/>
      <c r="I1" s="2452"/>
      <c r="J1" s="2452"/>
      <c r="K1" s="2452"/>
      <c r="L1" s="1371"/>
      <c r="M1" s="1371"/>
    </row>
    <row r="2" spans="1:13" ht="12" customHeight="1" x14ac:dyDescent="0.2">
      <c r="B2" s="2454">
        <f>'Single Audit Cover'!E7</f>
        <v>13000000047</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2075</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4" t="s">
        <v>2093</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2094</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2076</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t="s">
        <v>2095</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3" t="s">
        <v>2096</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3" t="s">
        <v>2097</v>
      </c>
      <c r="C32" s="2473"/>
      <c r="D32" s="2474"/>
      <c r="E32" s="2474"/>
      <c r="F32" s="2474"/>
      <c r="G32" s="2474"/>
      <c r="H32" s="2474"/>
      <c r="I32" s="2474"/>
      <c r="J32" s="2474"/>
      <c r="K32" s="2474"/>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O17" sqref="O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Rend Lake Area Reg Del System</v>
      </c>
      <c r="C1" s="2452"/>
      <c r="D1" s="2452"/>
      <c r="E1" s="2452"/>
      <c r="F1" s="2452"/>
      <c r="G1" s="2452"/>
      <c r="H1" s="2452"/>
      <c r="I1" s="2452"/>
      <c r="J1" s="2452"/>
      <c r="K1" s="2452"/>
      <c r="L1" s="1371"/>
      <c r="M1" s="1371"/>
    </row>
    <row r="2" spans="1:13" ht="12" customHeight="1" x14ac:dyDescent="0.2">
      <c r="B2" s="2454">
        <f>'Single Audit Cover'!E7</f>
        <v>13000000047</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939"/>
      <c r="M3" s="1939"/>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Rend Lake Area Reg Del System</v>
      </c>
      <c r="C1" s="2479"/>
      <c r="D1" s="2479"/>
      <c r="E1" s="2479"/>
      <c r="F1" s="2479"/>
      <c r="G1" s="2479"/>
      <c r="H1" s="2479"/>
      <c r="I1" s="2479"/>
      <c r="J1" s="2479"/>
      <c r="K1" s="2479"/>
      <c r="L1" s="1449"/>
    </row>
    <row r="2" spans="1:12" ht="12.75" customHeight="1" x14ac:dyDescent="0.2">
      <c r="B2" s="2480">
        <f>'Single Audit Cover'!E7</f>
        <v>13000000047</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Rend Lake Area Reg Del System</v>
      </c>
      <c r="C1" s="2452"/>
      <c r="D1" s="2452"/>
      <c r="E1" s="1469"/>
    </row>
    <row r="2" spans="2:5" s="1279" customFormat="1" ht="12.75" customHeight="1" x14ac:dyDescent="0.2">
      <c r="B2" s="2454">
        <f>'Single Audit Cover'!E7</f>
        <v>13000000047</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d21dc803-237d-4c68-8692-8d731fd29118"/>
    <ds:schemaRef ds:uri="http://www.w3.org/XML/1998/namespace"/>
    <ds:schemaRef ds:uri="http://purl.org/dc/elements/1.1/"/>
    <ds:schemaRef ds:uri="http://schemas.microsoft.com/office/infopath/2007/PartnerControls"/>
    <ds:schemaRef ds:uri="http://purl.org/dc/terms/"/>
    <ds:schemaRef ds:uri="6ce3111e-7420-4802-b50a-75d4e9a0b980"/>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2019-10-19T15:39:40Z</cp:lastPrinted>
  <dcterms:created xsi:type="dcterms:W3CDTF">2003-10-29T19:06:34Z</dcterms:created>
  <dcterms:modified xsi:type="dcterms:W3CDTF">2019-12-02T17:08:06Z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