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7C43C947-626D-47E1-A588-3DCF7795FCBF}"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3" i="29"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82" i="36"/>
  <c r="D78" i="36"/>
  <c r="K75" i="29"/>
  <c r="K130" i="29"/>
  <c r="F56" i="34" s="1"/>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D26" i="108"/>
  <c r="E26" i="108"/>
  <c r="F26" i="108"/>
  <c r="G26" i="108"/>
  <c r="D27" i="108"/>
  <c r="E27" i="108"/>
  <c r="F27" i="108"/>
  <c r="G27" i="108"/>
  <c r="E28" i="108"/>
  <c r="F28" i="108"/>
  <c r="F37" i="108"/>
  <c r="G28" i="108"/>
  <c r="E30"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C57" i="34"/>
  <c r="D57" i="34"/>
  <c r="C61" i="34"/>
  <c r="C62" i="34"/>
  <c r="F62" i="34"/>
  <c r="C63" i="34"/>
  <c r="D63" i="34"/>
  <c r="C64" i="34"/>
  <c r="F64"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D7" i="118"/>
  <c r="D8" i="118"/>
  <c r="D9" i="118"/>
  <c r="H14" i="118"/>
  <c r="H19" i="118"/>
  <c r="H24" i="118"/>
  <c r="H28" i="118"/>
  <c r="D22" i="37"/>
  <c r="J22" i="37"/>
  <c r="D24" i="37"/>
  <c r="B4270" i="106" s="1"/>
  <c r="D4270" i="106" s="1"/>
  <c r="F68" i="34" l="1"/>
  <c r="F37" i="34"/>
  <c r="E38" i="108"/>
  <c r="G30" i="108"/>
  <c r="J41" i="3"/>
  <c r="C129" i="29"/>
  <c r="L5" i="11"/>
  <c r="B2056" i="106" s="1"/>
  <c r="D2056" i="106" s="1"/>
  <c r="H33" i="118"/>
  <c r="G14" i="4"/>
  <c r="B2609" i="106" s="1"/>
  <c r="D2609" i="106" s="1"/>
  <c r="G39" i="108"/>
  <c r="D36" i="108"/>
  <c r="G29" i="108"/>
  <c r="F36" i="108"/>
  <c r="B3488" i="106"/>
  <c r="D3488" i="106" s="1"/>
  <c r="F71" i="34"/>
  <c r="F36" i="34"/>
  <c r="G38" i="108"/>
  <c r="D31" i="108"/>
  <c r="D69" i="36"/>
  <c r="J367" i="29"/>
  <c r="B7245" i="106" s="1"/>
  <c r="D7245" i="106" s="1"/>
  <c r="B7235" i="106"/>
  <c r="D7235" i="106" s="1"/>
  <c r="B7231" i="106"/>
  <c r="D7231" i="106" s="1"/>
  <c r="K76" i="4"/>
  <c r="B3586" i="106" s="1"/>
  <c r="D3586" i="106" s="1"/>
  <c r="K184" i="29"/>
  <c r="F13" i="4" s="1"/>
  <c r="B2596" i="106" s="1"/>
  <c r="D2596" i="106" s="1"/>
  <c r="G210" i="29"/>
  <c r="J77" i="4"/>
  <c r="B6262" i="106" s="1"/>
  <c r="D6262" i="106" s="1"/>
  <c r="J210" i="29"/>
  <c r="B7072" i="106" s="1"/>
  <c r="D7072" i="106" s="1"/>
  <c r="F50" i="34"/>
  <c r="C342" i="29"/>
  <c r="B7216" i="106" s="1"/>
  <c r="D7216" i="106" s="1"/>
  <c r="D6103" i="106"/>
  <c r="H365" i="29"/>
  <c r="B7242" i="106" s="1"/>
  <c r="D7242" i="106" s="1"/>
  <c r="F77" i="4"/>
  <c r="B3255" i="106" s="1"/>
  <c r="D3255" i="106" s="1"/>
  <c r="D54" i="36"/>
  <c r="I210" i="29"/>
  <c r="B7071" i="106" s="1"/>
  <c r="D7071" i="106" s="1"/>
  <c r="B4087" i="106"/>
  <c r="D4087" i="106" s="1"/>
  <c r="K41" i="3"/>
  <c r="L15" i="11"/>
  <c r="B3459" i="106" s="1"/>
  <c r="D3459" i="106" s="1"/>
  <c r="B1308" i="106"/>
  <c r="D1308" i="106" s="1"/>
  <c r="E174" i="29"/>
  <c r="B1309" i="106" s="1"/>
  <c r="D1309" i="106" s="1"/>
  <c r="B1126" i="106"/>
  <c r="D1126" i="106" s="1"/>
  <c r="D17" i="7"/>
  <c r="B4104" i="106" s="1"/>
  <c r="D4104" i="106" s="1"/>
  <c r="D11" i="37"/>
  <c r="D31" i="36"/>
  <c r="L22" i="37"/>
  <c r="L367" i="29"/>
  <c r="F19" i="7"/>
  <c r="B1807" i="106" s="1"/>
  <c r="D1807" i="106" s="1"/>
  <c r="C352" i="29"/>
  <c r="B3621" i="106" s="1"/>
  <c r="D3621" i="106" s="1"/>
  <c r="D9" i="7"/>
  <c r="B1767" i="106" s="1"/>
  <c r="D1767" i="106" s="1"/>
  <c r="H29" i="118"/>
  <c r="K28" i="118" s="1"/>
  <c r="O27" i="118" s="1"/>
  <c r="O29" i="118" s="1"/>
  <c r="N22" i="3"/>
  <c r="B283" i="106" s="1"/>
  <c r="D283" i="106" s="1"/>
  <c r="L342" i="29"/>
  <c r="F49" i="34"/>
  <c r="F44" i="34"/>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5778" i="106" l="1"/>
  <c r="D5778" i="106" s="1"/>
  <c r="G6" i="4"/>
  <c r="B2604" i="106" s="1"/>
  <c r="D2604" i="106" s="1"/>
  <c r="D7254" i="106"/>
  <c r="D7250" i="106"/>
  <c r="L16" i="11"/>
  <c r="B2061" i="106" s="1"/>
  <c r="D2061" i="106" s="1"/>
  <c r="F174" i="34"/>
  <c r="B5770" i="106"/>
  <c r="D5770" i="106" s="1"/>
  <c r="C367" i="29"/>
  <c r="B3622" i="106" s="1"/>
  <c r="D3622" i="106" s="1"/>
  <c r="B1328" i="106"/>
  <c r="D1328" i="106" s="1"/>
  <c r="D7252" i="106"/>
  <c r="B5527" i="106"/>
  <c r="D5527" i="106" s="1"/>
  <c r="B1365" i="106"/>
  <c r="D1365" i="106" s="1"/>
  <c r="F65" i="34"/>
  <c r="L114" i="29"/>
  <c r="D44" i="36"/>
  <c r="C114" i="29"/>
  <c r="B757" i="106" s="1"/>
  <c r="D757" i="106" s="1"/>
  <c r="I26" i="12"/>
  <c r="B7741" i="106" s="1"/>
  <c r="D7741" i="106" s="1"/>
  <c r="B1996" i="106"/>
  <c r="D1996" i="106" s="1"/>
  <c r="B3568" i="106"/>
  <c r="D3568" i="106" s="1"/>
  <c r="D52" i="36"/>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<sst xmlns="http://schemas.openxmlformats.org/spreadsheetml/2006/main" count="5057" uniqueCount="2092">
  <si>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</si>
  <si>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</si>
  <si>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</si>
  <si>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</si>
  <si>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</si>
  <si>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</si>
  <si>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</si>
  <si>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</si>
  <si>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</si>
  <si>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</si>
  <si>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</si>
  <si>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</si>
  <si>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</si>
  <si>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</si>
  <si>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</si>
  <si>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</si>
  <si>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</si>
  <si>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</si>
  <si>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</si>
  <si>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</si>
  <si>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</si>
  <si>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</si>
  <si>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</si>
  <si>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</si>
  <si>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</si>
  <si>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</si>
  <si>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</si>
  <si>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</si>
  <si>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</si>
  <si>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</si>
  <si>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</si>
  <si>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</si>
  <si>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</si>
  <si>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</si>
  <si>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</si>
  <si>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</si>
  <si>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</si>
  <si>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</si>
  <si>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</si>
  <si>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</si>
  <si>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</si>
  <si>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</si>
  <si>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</si>
  <si>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</si>
  <si>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</si>
  <si>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</si>
  <si>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</si>
  <si>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</si>
  <si>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</si>
  <si>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</si>
  <si>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</si>
  <si>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</si>
  <si>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</si>
  <si>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</si>
  <si>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</si>
  <si>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</si>
  <si>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</si>
  <si>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</si>
  <si>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</si>
  <si>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</si>
  <si>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</si>
  <si>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</si>
  <si>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</si>
  <si>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</si>
  <si>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</si>
  <si>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</si>
  <si>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</si>
  <si>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</si>
  <si>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</si>
  <si>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</si>
  <si>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</si>
  <si>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</si>
  <si>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</si>
  <si>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</si>
  <si>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</si>
  <si>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</si>
  <si>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</si>
  <si>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</si>
  <si>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</si>
  <si>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</si>
  <si>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</si>
  <si>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</si>
  <si>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</si>
  <si>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</si>
  <si>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</si>
  <si>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</si>
  <si>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</si>
  <si>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</si>
  <si>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</si>
  <si>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</si>
  <si>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</si>
  <si>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</si>
  <si>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</si>
  <si>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</si>
  <si>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</si>
  <si>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</si>
  <si>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</si>
  <si>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</si>
  <si>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</si>
  <si>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</si>
  <si>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</si>
  <si>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</si>
  <si>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</si>
  <si>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</si>
  <si>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</si>
  <si>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</si>
  <si>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</si>
  <si>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</si>
  <si>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</si>
  <si>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</si>
  <si>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</si>
  <si>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</si>
  <si>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</si>
  <si>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</si>
  <si>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</si>
  <si>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</si>
  <si>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</si>
  <si>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</si>
  <si>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</si>
  <si>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</si>
  <si>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</si>
  <si>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</si>
  <si>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</si>
  <si>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</si>
  <si>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</si>
  <si>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</si>
  <si>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</si>
  <si>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</si>
  <si>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</si>
  <si>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</si>
  <si>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</si>
  <si>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</si>
  <si>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</si>
  <si>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</si>
  <si>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</si>
  <si>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</si>
  <si>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</si>
  <si>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</si>
  <si>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</si>
  <si>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</si>
  <si>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</si>
  <si>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</si>
  <si>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</si>
  <si>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</si>
  <si>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</si>
  <si>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</si>
  <si>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</si>
  <si>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</si>
  <si>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</si>
  <si>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</si>
  <si>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</si>
  <si>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</si>
  <si>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</si>
  <si>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</si>
  <si>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</si>
  <si>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</si>
  <si>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</si>
  <si>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</si>
  <si>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</si>
  <si>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</si>
  <si>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</si>
  <si>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</si>
  <si>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</si>
  <si>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</si>
  <si>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</si>
  <si>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</si>
  <si>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</si>
  <si>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</si>
  <si>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</si>
  <si>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</si>
  <si>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</si>
  <si>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</si>
  <si>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</si>
  <si>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</si>
  <si>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</si>
  <si>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</si>
  <si>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</si>
  <si>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</si>
  <si>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</si>
  <si>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</si>
  <si>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</si>
  <si>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</si>
  <si>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</si>
  <si>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</si>
  <si>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</si>
  <si>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</si>
  <si>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</si>
  <si>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</si>
  <si>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</si>
  <si>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</si>
  <si>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</si>
  <si>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</si>
  <si>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</si>
  <si>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</si>
  <si>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</si>
  <si>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</si>
  <si>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</si>
  <si>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</si>
  <si>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</si>
  <si>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</si>
  <si>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</si>
  <si>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</si>
  <si>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</si>
  <si>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</si>
  <si>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</si>
  <si>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</si>
  <si>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</si>
  <si>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</si>
  <si>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</si>
  <si>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</si>
  <si>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</si>
  <si>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</si>
  <si>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</si>
  <si>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</si>
  <si>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</si>
  <si>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</si>
  <si>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</si>
  <si>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</si>
  <si>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</si>
  <si>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</si>
  <si>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</si>
  <si>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</si>
  <si>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</si>
  <si>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</si>
  <si>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</si>
  <si>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</si>
  <si>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</si>
  <si>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</si>
  <si>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</si>
  <si>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</si>
  <si>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</si>
  <si>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</si>
  <si>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</si>
  <si>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</si>
  <si>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</si>
  <si>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</si>
  <si>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</si>
  <si>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</si>
  <si>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</si>
  <si>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</si>
  <si>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</si>
  <si>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</si>
  <si>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</si>
  <si>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</si>
  <si>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</si>
  <si>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</si>
  <si>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</si>
  <si>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</si>
  <si>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</si>
  <si>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</si>
  <si>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</si>
  <si>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</si>
  <si>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</si>
  <si>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</si>
  <si>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</si>
  <si>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</si>
  <si>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</si>
  <si>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</si>
  <si>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</si>
  <si>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</si>
  <si>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</si>
  <si>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</si>
  <si>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</si>
  <si>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</si>
  <si>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</si>
  <si>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</si>
  <si>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</si>
  <si>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</si>
  <si>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</si>
  <si>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</si>
  <si>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</si>
  <si>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</si>
  <si>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</si>
  <si>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</si>
  <si>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</si>
  <si>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</si>
  <si>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</si>
  <si>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</si>
  <si>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</si>
  <si>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</si>
  <si>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</si>
  <si>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</si>
  <si>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</si>
  <si>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</si>
  <si>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</si>
  <si>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</si>
  <si>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</si>
  <si>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</si>
  <si>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</si>
  <si>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</si>
  <si>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</si>
  <si>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</si>
  <si>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</si>
  <si>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</si>
  <si>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</si>
  <si>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</si>
  <si>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</si>
  <si>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</si>
  <si>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</si>
  <si>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</si>
  <si>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</si>
  <si>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</si>
  <si>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</si>
  <si>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</si>
  <si>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</si>
  <si>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</si>
  <si>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</si>
  <si>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</si>
  <si>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</si>
  <si>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</si>
  <si>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</si>
  <si>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</si>
  <si>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</si>
  <si>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</si>
  <si>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</si>
  <si>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</si>
  <si>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</si>
  <si>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</si>
  <si>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</si>
  <si>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</si>
  <si>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</si>
  <si>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</si>
  <si>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</si>
  <si>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</si>
  <si>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</si>
  <si>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</si>
  <si>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</si>
  <si>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</si>
  <si>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</si>
  <si>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</si>
  <si>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</si>
  <si>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</si>
  <si>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</si>
  <si>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</si>
  <si>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</si>
  <si>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</si>
  <si>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</si>
  <si>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</si>
  <si>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</si>
  <si>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</si>
  <si>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</si>
  <si>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</si>
  <si>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</si>
  <si>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</si>
  <si>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</si>
  <si>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</si>
  <si>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</si>
  <si>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</si>
  <si>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</si>
  <si>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</si>
  <si>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</si>
  <si>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</si>
  <si>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</si>
  <si>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</si>
  <si>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</si>
  <si>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</si>
  <si>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</si>
  <si>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</si>
  <si>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</si>
  <si>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</si>
  <si>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</si>
  <si>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</si>
  <si>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</si>
  <si>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</si>
  <si>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</si>
  <si>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</si>
  <si>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</si>
  <si>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</si>
  <si>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</si>
  <si>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</si>
  <si>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</si>
  <si>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</si>
  <si>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</si>
  <si>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</si>
  <si>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</si>
  <si>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</si>
  <si>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</si>
  <si>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</si>
  <si>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</si>
  <si>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</si>
  <si>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</si>
  <si>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</si>
  <si>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</si>
  <si>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</si>
  <si>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</si>
  <si>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</si>
  <si>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</si>
  <si>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</si>
  <si>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</si>
  <si>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</si>
  <si>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</si>
  <si>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</si>
  <si>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</si>
  <si>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</si>
  <si>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</si>
  <si>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</si>
  <si>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</si>
  <si>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</si>
  <si>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</si>
  <si>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</si>
  <si>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</si>
  <si>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</si>
  <si>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</si>
  <si>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</si>
  <si>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</si>
  <si>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</si>
  <si>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</si>
  <si>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</si>
  <si>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</si>
  <si>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</si>
  <si>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</si>
  <si>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</si>
  <si>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</si>
  <si>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</si>
  <si>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</si>
  <si>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</si>
  <si>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</si>
  <si>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</si>
  <si>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</si>
  <si>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</si>
  <si>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</si>
  <si>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</si>
  <si>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</si>
  <si>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</si>
  <si>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</si>
  <si>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</si>
  <si>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</si>
  <si>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</si>
  <si>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</si>
  <si>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</si>
  <si>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</si>
  <si>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</si>
  <si>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</si>
  <si>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</si>
  <si>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</si>
  <si>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</si>
  <si>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</si>
  <si>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</si>
  <si>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</si>
  <si>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</si>
  <si>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</si>
  <si>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</si>
  <si>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</si>
  <si>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</si>
  <si>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</si>
  <si>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</si>
  <si>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</si>
  <si>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</si>
  <si>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</si>
  <si>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</si>
  <si>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</si>
  <si>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</si>
  <si>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</si>
  <si>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</si>
  <si>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</si>
  <si>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</si>
  <si>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</si>
  <si>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</si>
  <si>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</si>
  <si>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</si>
  <si>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</si>
  <si>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</si>
  <si>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</si>
  <si>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</si>
  <si>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</si>
  <si>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</si>
  <si>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</si>
  <si>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</si>
  <si>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</si>
  <si>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</si>
  <si>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</si>
  <si>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</si>
  <si>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</si>
  <si>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</si>
  <si>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</si>
  <si>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</si>
  <si>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</si>
  <si>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</si>
  <si>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</si>
  <si>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</si>
  <si>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</si>
  <si>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</si>
  <si>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</si>
  <si>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</si>
  <si>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</si>
  <si>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</si>
  <si>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</si>
  <si>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</si>
  <si>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</si>
  <si>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</si>
  <si>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</si>
  <si>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</si>
  <si>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</si>
  <si>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</si>
  <si>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</si>
  <si>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</si>
  <si>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</si>
  <si>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</si>
  <si>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</si>
  <si>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</si>
  <si>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</si>
  <si>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</si>
  <si>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</si>
  <si>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</si>
  <si>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</si>
  <si>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</si>
  <si>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</si>
  <si>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</si>
  <si>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</si>
  <si>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</si>
  <si>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</si>
  <si>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</si>
  <si>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</si>
  <si>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</si>
  <si>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</si>
  <si>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</si>
  <si>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</si>
  <si>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</si>
  <si>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</si>
  <si>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</si>
  <si>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</si>
  <si>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</si>
  <si>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</si>
  <si>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</si>
  <si>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</si>
  <si>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</si>
  <si>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</si>
  <si>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</si>
  <si>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</si>
  <si>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</si>
  <si>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</si>
  <si>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</si>
  <si>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</si>
  <si>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</si>
  <si>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</si>
  <si>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</si>
  <si>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</si>
  <si>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</si>
  <si>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</si>
  <si>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</si>
  <si>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</si>
  <si>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</si>
  <si>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</si>
  <si>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</si>
  <si>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</si>
  <si>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</si>
  <si>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</si>
  <si>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</si>
  <si>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</si>
  <si>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</si>
  <si>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</si>
  <si>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</si>
  <si>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</si>
  <si>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</si>
  <si>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</si>
  <si>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</si>
  <si>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</si>
  <si>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</si>
  <si>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</si>
  <si>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</si>
  <si>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</si>
  <si>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</si>
  <si>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</si>
  <si>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</si>
  <si>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</si>
  <si>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</si>
  <si>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</si>
  <si>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</si>
  <si>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</si>
  <si>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</si>
  <si>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</si>
  <si>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</si>
  <si>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</si>
  <si>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</si>
  <si>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</si>
  <si>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</si>
  <si>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</si>
  <si>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</si>
  <si>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</si>
  <si>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</si>
  <si>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</si>
  <si>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</si>
  <si>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</si>
  <si>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</si>
  <si>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</si>
  <si>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</si>
  <si>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</si>
  <si>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</si>
  <si>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</si>
  <si>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</si>
  <si>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</si>
  <si>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</si>
  <si>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</si>
  <si>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</si>
  <si>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</si>
  <si>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</si>
  <si>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</si>
  <si>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</si>
  <si>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</si>
  <si>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</si>
  <si>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</si>
  <si>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</si>
  <si>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</si>
  <si>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</si>
  <si>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</si>
  <si>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</si>
  <si>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</si>
  <si>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</si>
  <si>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</si>
  <si>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</si>
  <si>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</si>
  <si>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</si>
  <si>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</si>
  <si>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</si>
  <si>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</si>
  <si>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</si>
  <si>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</si>
  <si>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</si>
  <si>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</si>
  <si>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</si>
  <si>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</si>
  <si>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</si>
  <si>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</si>
  <si>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</si>
  <si>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</si>
  <si>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</si>
  <si>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</si>
  <si>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</si>
  <si>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</si>
  <si>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</si>
  <si>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</si>
  <si>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</si>
  <si>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</si>
  <si>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</si>
  <si>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</si>
  <si>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</si>
  <si>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</si>
  <si>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</si>
  <si>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</si>
  <si>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</si>
  <si>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</si>
  <si>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</si>
  <si>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</si>
  <si>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</si>
  <si>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</si>
  <si>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</si>
  <si>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</si>
  <si>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</si>
  <si>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</si>
  <si>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</si>
  <si>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</si>
  <si>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</si>
  <si>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</si>
  <si>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</si>
  <si>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</si>
  <si>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</si>
  <si>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</si>
  <si>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</si>
  <si>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</si>
  <si>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</si>
  <si>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</si>
  <si>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</si>
  <si>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</si>
  <si>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</si>
  <si>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</si>
  <si>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</si>
  <si>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</si>
  <si>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</si>
  <si>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</si>
  <si>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</si>
  <si>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</si>
  <si>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</si>
  <si>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</si>
  <si>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</si>
  <si>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</si>
  <si>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</si>
  <si>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</si>
  <si>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</si>
  <si>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</si>
  <si>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</si>
  <si>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</si>
  <si>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</si>
  <si>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</si>
  <si>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</si>
  <si>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</si>
  <si>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</si>
  <si>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</si>
  <si>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</si>
  <si>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</si>
  <si>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</si>
  <si>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</si>
  <si>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</si>
  <si>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</si>
  <si>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</si>
  <si>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</si>
  <si>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</si>
  <si>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</si>
  <si>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</si>
  <si>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</si>
  <si>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</si>
  <si>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</si>
  <si>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</si>
  <si>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</si>
  <si>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</si>
  <si>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</si>
  <si>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</si>
  <si>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</si>
  <si>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</si>
  <si>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</si>
  <si>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</si>
  <si>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</si>
  <si>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</si>
  <si>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</si>
  <si>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</si>
  <si>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</si>
  <si>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</si>
  <si>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</si>
  <si>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</si>
  <si>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</si>
  <si>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</si>
  <si>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</si>
  <si>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</si>
  <si>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</si>
  <si>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</si>
  <si>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</si>
  <si>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</si>
  <si>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</si>
  <si>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</si>
  <si>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</si>
  <si>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</si>
  <si>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</si>
  <si>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</si>
  <si>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</si>
  <si>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</si>
  <si>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</si>
  <si>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</si>
  <si>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</si>
  <si>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</si>
  <si>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</si>
  <si>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</si>
  <si>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</si>
  <si>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</si>
  <si>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</si>
  <si>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</si>
  <si>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</si>
  <si>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</si>
  <si>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</si>
  <si>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</si>
  <si>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</si>
  <si>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</si>
  <si>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</si>
  <si>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</si>
  <si>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</si>
  <si>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</si>
  <si>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</si>
  <si>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</si>
  <si>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</si>
  <si>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</si>
  <si>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</si>
  <si>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</si>
  <si>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</si>
  <si>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</si>
  <si>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</si>
  <si>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</si>
  <si>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</si>
  <si>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</si>
  <si>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</si>
  <si>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</si>
  <si>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</si>
  <si>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</si>
  <si>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</si>
  <si>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</si>
  <si>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</si>
  <si>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</si>
  <si>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</si>
  <si>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</si>
  <si>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</si>
  <si>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</si>
  <si>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</si>
  <si>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</si>
  <si>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</si>
  <si>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</si>
  <si>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</si>
  <si>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</si>
  <si>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</si>
  <si>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</si>
  <si>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</si>
  <si>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</si>
  <si>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</si>
  <si>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</si>
  <si>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</si>
  <si>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</si>
  <si>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</si>
  <si>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</si>
  <si>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</si>
  <si>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</si>
  <si>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</si>
  <si>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</si>
  <si>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</si>
  <si>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</si>
  <si>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</si>
  <si>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</si>
  <si>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</si>
  <si>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</si>
  <si>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</si>
  <si>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</si>
  <si>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</si>
  <si>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</si>
  <si>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</si>
  <si>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</si>
  <si>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</si>
  <si>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</si>
  <si>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</si>
  <si>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</si>
  <si>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</si>
  <si>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</si>
  <si>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</si>
  <si>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</si>
  <si>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</si>
  <si>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</si>
  <si>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</si>
  <si>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</si>
  <si>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</si>
  <si>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</si>
  <si>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</si>
  <si>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</si>
  <si>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</si>
  <si>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</si>
  <si>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</si>
  <si>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</si>
  <si>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</si>
  <si>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</si>
  <si>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</si>
  <si>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</si>
  <si>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</si>
  <si>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</si>
  <si>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</si>
  <si>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</si>
  <si>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</si>
  <si>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</si>
  <si>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</si>
  <si>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</si>
  <si>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</si>
  <si>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</si>
  <si>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</si>
  <si>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</si>
  <si>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</si>
  <si>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</si>
  <si>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</si>
  <si>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</si>
  <si>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</si>
  <si>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</si>
  <si>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</si>
  <si>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</si>
  <si>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</si>
  <si>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</si>
  <si>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</si>
  <si>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</si>
  <si>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</si>
  <si>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</si>
  <si>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</si>
  <si>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</si>
  <si>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</si>
  <si>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</si>
  <si>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</si>
  <si>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</si>
  <si>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</si>
  <si>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</si>
  <si>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</si>
  <si>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</si>
  <si>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</si>
  <si>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</si>
  <si>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</si>
  <si>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</si>
  <si>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</si>
  <si>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</si>
  <si>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</si>
  <si>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</si>
  <si>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</si>
  <si>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</si>
  <si>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</si>
  <si>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</si>
  <si>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</si>
  <si>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</si>
  <si>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</si>
  <si>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</si>
  <si>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</si>
  <si>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</si>
  <si>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</si>
  <si>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</si>
  <si>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</si>
  <si>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</si>
  <si>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</si>
  <si>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</si>
  <si>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</si>
  <si>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</si>
  <si>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</si>
  <si>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</si>
  <si>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</si>
  <si>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</si>
  <si>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</si>
  <si>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</si>
  <si>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</si>
  <si>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</si>
  <si>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</si>
  <si>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</si>
  <si>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</si>
  <si>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</si>
  <si>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</si>
  <si>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</si>
  <si>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</si>
  <si>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</si>
  <si>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</si>
  <si>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</si>
  <si>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</si>
  <si>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</si>
  <si>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</si>
  <si>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</si>
  <si>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</si>
  <si>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</si>
  <si>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</si>
  <si>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</si>
  <si>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</si>
  <si>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</si>
  <si>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</si>
  <si>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</si>
  <si>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</si>
  <si>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</si>
  <si>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</si>
  <si>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</si>
  <si>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</si>
  <si>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</si>
  <si>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</si>
  <si>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</si>
  <si>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</si>
  <si>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</si>
  <si>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</si>
  <si>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</si>
  <si>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</si>
  <si>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</si>
  <si>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</si>
  <si>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</si>
  <si>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</si>
  <si>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</si>
  <si>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</si>
  <si>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</si>
  <si>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</si>
  <si>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</si>
  <si>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</si>
  <si>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</si>
  <si>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</si>
  <si>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</si>
  <si>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</si>
  <si>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</si>
  <si>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</si>
  <si>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</si>
  <si>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</si>
  <si>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</si>
  <si>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</si>
  <si>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</si>
  <si>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</si>
  <si>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</si>
  <si>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</si>
  <si>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</si>
  <si>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</si>
  <si>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</si>
  <si>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</si>
  <si>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</si>
  <si>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</si>
  <si>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</si>
  <si>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</si>
  <si>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</si>
  <si>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</si>
  <si>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</si>
  <si>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</si>
  <si>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</si>
  <si>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</si>
  <si>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</si>
  <si>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</si>
  <si>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</si>
  <si>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</si>
  <si>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</si>
  <si>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</si>
  <si>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</si>
  <si>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</si>
  <si>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</si>
  <si>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</si>
  <si>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</si>
  <si>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</si>
  <si>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</si>
  <si>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</si>
  <si>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</si>
  <si>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</si>
  <si>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</si>
  <si>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</si>
  <si>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</si>
  <si>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</si>
  <si>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</si>
  <si>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</si>
  <si>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</si>
  <si>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</si>
  <si>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</si>
  <si>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</si>
  <si>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</si>
  <si>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</si>
  <si>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</si>
  <si>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</si>
  <si>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</si>
  <si>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</si>
  <si>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</si>
  <si>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</si>
  <si>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</si>
  <si>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</si>
  <si>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</si>
  <si>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</si>
  <si>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</si>
  <si>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</si>
  <si>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</si>
  <si>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</si>
  <si>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</si>
  <si>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</si>
  <si>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</si>
  <si>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</si>
  <si>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</si>
  <si>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</si>
  <si>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</si>
  <si>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</si>
  <si>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</si>
  <si>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</si>
  <si>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</si>
  <si>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</si>
  <si>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</si>
  <si>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</si>
  <si>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</si>
  <si>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</si>
  <si>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</si>
  <si>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</si>
  <si>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</si>
  <si>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</si>
  <si>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</si>
  <si>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</si>
  <si>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</si>
  <si>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</si>
  <si>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</si>
  <si>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</si>
  <si>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</si>
  <si>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</si>
  <si>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</si>
  <si>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</si>
  <si>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</si>
  <si>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</si>
  <si>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</si>
  <si>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</si>
  <si>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</si>
  <si>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</si>
  <si>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</si>
  <si>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</si>
  <si>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</si>
  <si>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</si>
  <si>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</si>
  <si>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</si>
  <si>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</si>
  <si>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</si>
  <si>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</si>
  <si>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</si>
  <si>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</si>
  <si>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</si>
  <si>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</si>
  <si>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</si>
  <si>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</si>
  <si>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</si>
  <si>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</si>
  <si>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</si>
  <si>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</si>
  <si>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</si>
  <si>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</si>
  <si>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</si>
  <si>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</si>
  <si>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</si>
  <si>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</si>
  <si>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</si>
  <si>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</si>
  <si>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</si>
  <si>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</si>
  <si>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</si>
  <si>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</si>
  <si>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</si>
  <si>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</si>
  <si>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</si>
  <si>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</si>
  <si>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</si>
  <si>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</si>
  <si>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</si>
  <si>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</si>
  <si>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</si>
  <si>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</si>
  <si>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</si>
  <si>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</si>
  <si>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</si>
  <si>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</si>
  <si>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</si>
  <si>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</si>
  <si>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</si>
  <si>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</si>
  <si>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</si>
  <si>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</si>
  <si>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</si>
  <si>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</si>
  <si>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</si>
  <si>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</si>
  <si>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</si>
  <si>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</si>
  <si>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</si>
  <si>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</si>
  <si>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</si>
  <si>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</si>
  <si>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</si>
  <si>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</si>
  <si>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</si>
  <si>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</si>
  <si>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</si>
  <si>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</si>
  <si>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</si>
  <si>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</si>
  <si>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</si>
  <si>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</si>
  <si>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</si>
  <si>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</si>
  <si>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</si>
  <si>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</si>
  <si>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</si>
  <si>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</si>
  <si>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</si>
  <si>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</si>
  <si>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</si>
  <si>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</si>
  <si>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</si>
  <si>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</si>
  <si>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</si>
  <si>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</si>
  <si>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</si>
  <si>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</si>
  <si>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</si>
  <si>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</si>
  <si>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</si>
  <si>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</si>
  <si>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</si>
  <si>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</si>
  <si>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</si>
  <si>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</si>
  <si>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</si>
  <si>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</si>
  <si>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</si>
  <si>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</si>
  <si>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</si>
  <si>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</si>
  <si>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</si>
  <si>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</si>
  <si>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</si>
  <si>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</si>
  <si>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</si>
  <si>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</si>
  <si>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</si>
  <si>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</si>
  <si>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</si>
  <si>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</si>
  <si>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</si>
  <si>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</si>
  <si>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</si>
  <si>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</si>
  <si>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</si>
  <si>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</si>
  <si>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</si>
  <si>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</si>
  <si>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</si>
  <si>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</si>
  <si>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</si>
  <si>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</si>
  <si>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</si>
  <si>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</si>
  <si>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</si>
  <si>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</si>
  <si>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</si>
  <si>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</si>
  <si>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</si>
  <si>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</si>
  <si>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</si>
  <si>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</si>
  <si>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</si>
  <si>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</si>
  <si>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</si>
  <si>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</si>
  <si>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</si>
  <si>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</si>
  <si>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</si>
  <si>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</si>
  <si>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</si>
  <si>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</si>
  <si>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</si>
  <si>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</si>
  <si>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</si>
  <si>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</si>
  <si>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</si>
  <si>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</si>
  <si>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</si>
  <si>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</si>
  <si>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</si>
  <si>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</si>
  <si>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</si>
  <si>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</si>
  <si>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</si>
  <si>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</si>
  <si>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</si>
  <si>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</si>
  <si>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</si>
  <si>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</si>
  <si>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</si>
  <si>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</si>
  <si>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</si>
  <si>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</si>
  <si>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</si>
  <si>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</si>
  <si>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</si>
  <si>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</si>
  <si>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</si>
  <si>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</si>
  <si>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</si>
  <si>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</si>
  <si>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</si>
  <si>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</si>
  <si>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</si>
  <si>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</si>
  <si>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</si>
  <si>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</si>
  <si>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</si>
  <si>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</si>
  <si>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</si>
  <si>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</si>
  <si>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</si>
  <si>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</si>
  <si>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</si>
  <si>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</si>
  <si>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</si>
  <si>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</si>
  <si>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</si>
  <si>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</si>
  <si>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</si>
  <si>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</si>
  <si>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</si>
  <si>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</si>
  <si>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</si>
  <si>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</si>
  <si>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</si>
  <si>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</si>
  <si>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</si>
  <si>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</si>
  <si>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</si>
  <si>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</si>
  <si>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</si>
  <si>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</si>
  <si>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</si>
  <si>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</si>
  <si>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</si>
  <si>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</si>
  <si>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</si>
  <si>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</si>
  <si>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</si>
  <si>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</si>
  <si>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</si>
  <si>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</si>
  <si>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</si>
  <si>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</si>
  <si>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</si>
  <si>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</si>
  <si>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</si>
  <si>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</si>
  <si>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</si>
  <si>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</si>
  <si>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</si>
  <si>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</si>
  <si>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</si>
  <si>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</si>
  <si>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</si>
  <si>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</si>
  <si>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</si>
  <si>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</si>
  <si>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</si>
  <si>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</si>
  <si>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</si>
  <si>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</si>
  <si>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</si>
  <si>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</si>
  <si>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</si>
  <si>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</si>
  <si>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</si>
  <si>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</si>
  <si>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</si>
  <si>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</si>
  <si>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</si>
  <si>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</si>
  <si>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</si>
  <si>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</si>
  <si>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</si>
  <si>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</si>
  <si>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</si>
  <si>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</si>
  <si>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</si>
  <si>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</si>
  <si>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</si>
  <si>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</si>
  <si>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</si>
  <si>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</si>
  <si>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</si>
  <si>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</si>
  <si>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</si>
  <si>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</si>
  <si>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</si>
  <si>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</si>
  <si>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</si>
  <si>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</si>
  <si>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</si>
  <si>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</si>
  <si>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</si>
  <si>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</si>
  <si>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</si>
  <si>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</si>
  <si>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</si>
  <si>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</si>
  <si>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</si>
  <si>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</si>
  <si>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</si>
  <si>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</si>
  <si>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</si>
  <si>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</si>
  <si>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</si>
  <si>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</si>
  <si>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</si>
  <si>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</si>
  <si>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</si>
  <si>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</si>
  <si>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</si>
  <si>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</si>
  <si>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</si>
  <si>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</si>
  <si>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</si>
  <si>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</si>
  <si>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</si>
  <si>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</si>
  <si>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</si>
  <si>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</si>
  <si>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</si>
  <si>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</si>
  <si>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</si>
  <si>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</si>
  <si>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</si>
  <si>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</si>
  <si>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</si>
  <si>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</si>
  <si>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</si>
  <si>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</si>
  <si>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</si>
  <si>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</si>
  <si>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</si>
  <si>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</si>
  <si>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</si>
  <si>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</si>
  <si>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</si>
  <si>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</si>
  <si>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</si>
  <si>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</si>
  <si>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</si>
  <si>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</si>
  <si>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</si>
  <si>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</si>
  <si>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</si>
  <si>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</si>
  <si>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</si>
  <si>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</si>
  <si>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</si>
  <si>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</si>
  <si>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</si>
  <si>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</si>
  <si>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</si>
  <si>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</si>
  <si>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</si>
  <si>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</si>
  <si>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</si>
  <si>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</si>
  <si>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</si>
  <si>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</si>
  <si>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</si>
  <si>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</si>
  <si>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</si>
  <si>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</si>
  <si>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</si>
  <si>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</si>
  <si>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</si>
  <si>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</si>
  <si>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</si>
  <si>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</si>
  <si>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</si>
  <si>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</si>
  <si>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</si>
  <si>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</si>
  <si>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</si>
  <si>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</si>
  <si>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</si>
  <si>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</si>
  <si>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</si>
  <si>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</si>
  <si>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</si>
  <si>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</si>
  <si>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</si>
  <si>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</si>
  <si>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</si>
  <si>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</si>
  <si>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</si>
  <si>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</si>
  <si>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</si>
  <si>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</si>
  <si>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</si>
  <si>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</si>
  <si>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</si>
  <si>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</si>
  <si>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</si>
  <si>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</si>
  <si>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</si>
  <si>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</si>
  <si>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</si>
  <si>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</si>
  <si>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</si>
  <si>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</si>
  <si>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</si>
  <si>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</si>
  <si>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</si>
  <si>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</si>
  <si>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</si>
  <si>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</si>
  <si>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</si>
  <si>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</si>
  <si>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</si>
  <si>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</si>
  <si>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</si>
  <si>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</si>
  <si>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</si>
  <si>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</si>
  <si>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</si>
  <si>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</si>
  <si>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</si>
  <si>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</si>
  <si>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</si>
  <si>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</si>
  <si>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</si>
  <si>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</si>
  <si>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</si>
  <si>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</si>
  <si>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</si>
  <si>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</si>
  <si>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</si>
  <si>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</si>
  <si>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</si>
  <si>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</si>
  <si>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</si>
  <si>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</si>
  <si>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</si>
  <si>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</si>
  <si>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</si>
  <si>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</si>
  <si>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</si>
  <si>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</si>
  <si>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</si>
  <si>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</si>
  <si>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</si>
  <si>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</si>
  <si>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</si>
  <si>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</si>
  <si>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</si>
  <si>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</si>
  <si>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</si>
  <si>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</si>
  <si>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</si>
  <si>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</si>
  <si>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</si>
  <si>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</si>
  <si>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</si>
  <si>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</si>
  <si>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</si>
  <si>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</si>
  <si>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</si>
  <si>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</si>
  <si>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</si>
  <si>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</si>
  <si>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</si>
  <si>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</si>
  <si>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</si>
  <si>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</si>
  <si>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</si>
  <si>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</si>
  <si>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</si>
  <si>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</si>
  <si>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</si>
  <si>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</si>
  <si>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</si>
  <si>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</si>
  <si>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</si>
  <si>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</si>
  <si>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</si>
  <si>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</si>
  <si>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</si>
  <si>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</si>
  <si>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</si>
  <si>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</si>
  <si>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</si>
  <si>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</si>
  <si>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</si>
  <si>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</si>
  <si>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</si>
  <si>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</si>
  <si>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</si>
  <si>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</si>
  <si>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</si>
  <si>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</si>
  <si>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</si>
  <si>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</si>
  <si>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</si>
  <si>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</si>
  <si>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</si>
  <si>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</si>
  <si>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</si>
  <si>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</si>
  <si>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</si>
  <si>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</si>
  <si>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</si>
  <si>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</si>
  <si>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</si>
  <si>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</si>
  <si>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</si>
  <si>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</si>
  <si>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</si>
  <si>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</si>
  <si>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</si>
  <si>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</si>
  <si>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</si>
  <si>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</si>
  <si>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</si>
  <si>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</si>
  <si>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</si>
  <si>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</si>
  <si>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</si>
  <si>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</si>
  <si>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</si>
  <si>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</si>
  <si>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</si>
  <si>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</si>
  <si>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</si>
  <si>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</si>
  <si>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</si>
  <si>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</si>
  <si>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</si>
  <si>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</si>
  <si>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</si>
  <si>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</si>
  <si>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</si>
  <si>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</si>
  <si>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</si>
  <si>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</si>
  <si>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</si>
  <si>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</si>
  <si>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</si>
  <si>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</si>
  <si>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</si>
  <si>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</si>
  <si>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</si>
  <si>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</si>
  <si>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</si>
  <si>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</si>
  <si>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</si>
  <si>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</si>
  <si>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</si>
  <si>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</si>
  <si>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</si>
  <si>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</si>
  <si>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</si>
  <si>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</si>
  <si>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</si>
  <si>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</si>
  <si>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</si>
  <si>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</si>
  <si>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</si>
  <si>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</si>
  <si>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</si>
  <si>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</si>
  <si>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</si>
  <si>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</si>
  <si>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</si>
  <si>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</si>
  <si>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</si>
  <si>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</si>
  <si>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</si>
  <si>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</si>
  <si>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</si>
  <si>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</si>
  <si>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</si>
  <si>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</si>
  <si>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</si>
  <si>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</si>
  <si>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</si>
  <si>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</si>
  <si>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</si>
  <si>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</si>
  <si>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</si>
  <si>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</si>
  <si>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</si>
  <si>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</si>
  <si>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</si>
  <si>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</si>
  <si>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</si>
  <si>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</si>
  <si>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</si>
  <si>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</si>
  <si>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</si>
  <si>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</si>
  <si>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</si>
  <si>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</si>
  <si>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</si>
  <si>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</si>
  <si>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</si>
  <si>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</si>
  <si>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</si>
  <si>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</si>
  <si>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</si>
  <si>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</si>
  <si>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</si>
  <si>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</si>
  <si>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</si>
  <si>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</si>
  <si>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</si>
  <si>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</si>
  <si>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</si>
  <si>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</si>
  <si>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</si>
  <si>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</si>
  <si>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</si>
  <si>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</si>
  <si>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</si>
  <si>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</si>
  <si>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</si>
  <si>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</si>
  <si>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</si>
  <si>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</si>
  <si>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</si>
  <si>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</si>
  <si>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</si>
  <si>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</si>
  <si>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</si>
  <si>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</si>
  <si>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</si>
  <si>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</si>
  <si>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</si>
  <si>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</si>
  <si>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</si>
  <si>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</si>
  <si>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</si>
  <si>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</si>
  <si>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</si>
  <si>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</si>
  <si>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</si>
  <si>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</si>
  <si>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</si>
  <si>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</si>
  <si>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</si>
  <si>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</si>
  <si>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</si>
  <si>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</si>
  <si>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</si>
  <si>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</si>
  <si>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</si>
  <si>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</si>
  <si>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</si>
  <si>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</si>
  <si>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</si>
  <si>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</si>
  <si>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</si>
  <si>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</si>
  <si>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</si>
  <si>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</si>
  <si>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</si>
  <si>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</si>
  <si>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</si>
  <si>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</si>
  <si>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</si>
  <si>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</si>
  <si>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</si>
  <si>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</si>
  <si>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</si>
  <si>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</si>
  <si>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</si>
  <si>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</si>
  <si>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</si>
  <si>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</si>
  <si>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</si>
  <si>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</si>
  <si>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</si>
  <si>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</si>
  <si>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</si>
  <si>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</si>
  <si>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</si>
  <si>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</si>
  <si>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</si>
  <si>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</si>
  <si>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</si>
  <si>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</si>
  <si>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</si>
  <si>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</si>
  <si>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</si>
  <si>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</si>
  <si>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</si>
  <si>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</si>
  <si>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</si>
  <si>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</si>
  <si>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</si>
  <si>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</si>
  <si>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</si>
  <si>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</si>
  <si>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</si>
  <si>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</si>
  <si>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</si>
  <si>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</si>
  <si>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</si>
  <si>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</si>
  <si>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</si>
  <si>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</si>
  <si>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</si>
  <si>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</si>
  <si>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</si>
  <si>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</si>
  <si>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</si>
  <si>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</si>
  <si>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</si>
  <si>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</si>
  <si>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</si>
  <si>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</si>
  <si>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</si>
  <si>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</si>
  <si>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</si>
  <si>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</si>
  <si>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</si>
  <si>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</si>
  <si>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</si>
  <si>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</si>
  <si>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</si>
  <si>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</si>
  <si>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</si>
  <si>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</si>
  <si>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</si>
  <si>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</si>
  <si>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</si>
  <si>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</si>
  <si>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</si>
  <si>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</si>
  <si>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</si>
  <si>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</si>
  <si>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</si>
  <si>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</si>
  <si>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</si>
  <si>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</si>
  <si>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</si>
  <si>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</si>
  <si>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</si>
  <si>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</si>
  <si>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</si>
  <si>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</si>
  <si>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</si>
  <si>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</si>
  <si>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</si>
  <si>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</si>
  <si>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</si>
  <si>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</si>
  <si>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</si>
  <si>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</si>
  <si>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</si>
  <si>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</si>
  <si>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</si>
  <si>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</si>
  <si>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</si>
  <si>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</si>
  <si>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</si>
  <si>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</si>
  <si>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</si>
  <si>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</si>
  <si>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</si>
  <si>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</si>
  <si>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</si>
  <si>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</si>
  <si>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</si>
  <si>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</si>
  <si>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</si>
  <si>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</si>
  <si>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</si>
  <si>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</si>
  <si>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</si>
  <si>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</si>
  <si>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</si>
  <si>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</si>
  <si>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</si>
  <si>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</si>
  <si>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</si>
  <si>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</si>
  <si>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</si>
  <si>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</si>
  <si>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</si>
  <si>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</si>
  <si>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</si>
  <si>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</si>
  <si>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</si>
  <si>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</si>
  <si>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</si>
  <si>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</si>
  <si>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</si>
  <si>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</si>
  <si>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</si>
  <si>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</si>
  <si>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</si>
  <si>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</si>
  <si>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</si>
  <si>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</si>
  <si>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</si>
  <si>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</si>
  <si>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</si>
  <si>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</si>
  <si>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</si>
  <si>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</si>
  <si>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</si>
  <si>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</si>
  <si>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</si>
  <si>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</si>
  <si>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</si>
  <si>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</si>
  <si>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</si>
  <si>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</si>
  <si>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</si>
  <si>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</si>
  <si>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</si>
  <si>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</si>
  <si>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</si>
  <si>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</si>
  <si>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</si>
  <si>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</si>
  <si>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</si>
  <si>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</si>
  <si>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</si>
  <si>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</si>
  <si>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</si>
  <si>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</si>
  <si>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</si>
  <si>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</si>
  <si>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</si>
  <si>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</si>
  <si>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</si>
  <si>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</si>
  <si>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</si>
  <si>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</si>
  <si>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</si>
  <si>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</si>
  <si>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</si>
  <si>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</si>
  <si>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</si>
  <si>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</si>
  <si>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</si>
  <si>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</si>
  <si>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</si>
  <si>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</si>
  <si>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</si>
  <si>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</si>
  <si>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</si>
  <si>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</si>
  <si>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</si>
  <si>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</si>
  <si>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</si>
  <si>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</si>
  <si>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</si>
  <si>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</si>
  <si>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</si>
  <si>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</si>
  <si>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</si>
  <si>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</si>
  <si>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</si>
  <si>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</si>
  <si>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</si>
  <si>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</si>
  <si>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</si>
  <si>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</si>
  <si>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</si>
  <si>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</si>
  <si>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</si>
  <si>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</si>
  <si>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</si>
  <si>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</si>
  <si>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</si>
  <si>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</si>
  <si>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</si>
  <si>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</si>
  <si>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</si>
  <si>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</si>
  <si>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</si>
  <si>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</si>
  <si>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</si>
  <si>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</si>
  <si>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</si>
  <si>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</si>
  <si>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</si>
  <si>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</si>
  <si>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</si>
  <si>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</si>
  <si>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</si>
  <si>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</si>
  <si>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</si>
  <si>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</si>
  <si>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</si>
  <si>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</si>
  <si>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</si>
  <si>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</si>
  <si>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</si>
  <si>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</si>
  <si>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</si>
  <si>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</si>
  <si>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</si>
  <si>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</si>
  <si>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</si>
  <si>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</si>
  <si>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</si>
  <si>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</si>
  <si>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</si>
  <si>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</si>
  <si>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</si>
  <si>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</si>
  <si>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</si>
  <si>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</si>
  <si>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</si>
  <si>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</si>
  <si>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</si>
  <si>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</si>
  <si>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</si>
  <si>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</si>
  <si>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</si>
  <si>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</si>
  <si>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</si>
  <si>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</si>
  <si>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</si>
  <si>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</si>
  <si>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</si>
  <si>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</si>
  <si>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</si>
  <si>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</si>
  <si>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</si>
  <si>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</si>
  <si>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</si>
  <si>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</si>
  <si>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</si>
  <si>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</si>
  <si>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</si>
  <si>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</si>
  <si>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</si>
  <si>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</si>
  <si>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</si>
  <si>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</si>
  <si>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</si>
  <si>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</si>
  <si>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</si>
  <si>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</si>
  <si>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</si>
  <si>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</si>
  <si>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</si>
  <si>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</si>
  <si>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</si>
  <si>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</si>
  <si>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</si>
  <si>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</si>
  <si>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</si>
  <si>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</si>
  <si>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</si>
  <si>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</si>
  <si>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</si>
  <si>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</si>
  <si>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</si>
  <si>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</si>
  <si>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</si>
  <si>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</si>
  <si>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</si>
  <si>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</si>
  <si>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</si>
  <si>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</si>
  <si>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</si>
  <si>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</si>
  <si>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</si>
  <si>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</si>
  <si>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</si>
  <si>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</si>
  <si>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</si>
  <si>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</si>
  <si>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</si>
  <si>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</si>
  <si>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</si>
  <si>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</si>
  <si>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</si>
  <si>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</si>
  <si>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</si>
  <si>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</si>
  <si>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</si>
  <si>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</si>
  <si>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</si>
  <si>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</si>
  <si>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</si>
  <si>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</si>
  <si>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</si>
  <si>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</si>
  <si>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</si>
  <si>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</si>
  <si>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</si>
  <si>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</si>
  <si>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</si>
  <si>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</si>
  <si>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</si>
  <si>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</si>
  <si>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</si>
  <si>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</si>
  <si>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</si>
  <si>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</si>
  <si>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</si>
  <si>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</si>
  <si>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</si>
  <si>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</si>
  <si>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</si>
  <si>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</si>
  <si>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</si>
  <si>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</si>
  <si>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</si>
  <si>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</si>
  <si>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</si>
  <si>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</si>
  <si>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</si>
  <si>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</si>
  <si>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</si>
  <si>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</si>
  <si>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</si>
  <si>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</si>
  <si>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</si>
  <si>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</si>
  <si>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</si>
  <si>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</si>
  <si>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</si>
  <si>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</si>
  <si>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</si>
  <si>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</si>
  <si>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</si>
  <si>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</si>
  <si>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</si>
  <si>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</si>
  <si>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</si>
  <si>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</si>
  <si>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</si>
  <si>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</si>
  <si>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</si>
  <si>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</si>
  <si>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Marion</t>
  </si>
  <si>
    <t>200 East Schwartz</t>
  </si>
  <si>
    <t>Salem</t>
  </si>
  <si>
    <t>Ron Daniels</t>
  </si>
  <si>
    <t>rdaniels@ROE13.org</t>
  </si>
  <si>
    <t>618-548-6385</t>
  </si>
  <si>
    <t>618-548-6598</t>
  </si>
  <si>
    <t>Leymone Hardcastle &amp; Co., Ltd.</t>
  </si>
  <si>
    <t>Sara E. Hanks</t>
  </si>
  <si>
    <t>200 West Main Street</t>
  </si>
  <si>
    <t>IL</t>
  </si>
  <si>
    <t>618-548-1002</t>
  </si>
  <si>
    <t>618-548-1018</t>
  </si>
  <si>
    <t>060-001832</t>
  </si>
  <si>
    <t>Copier operating lease</t>
  </si>
  <si>
    <t>10-4799 Perkins Revenue ($132,514)</t>
  </si>
  <si>
    <t>The System is responsible for the preparation of the annual financial reports inculding disclosures.</t>
  </si>
  <si>
    <t>The System relies on tha audit firm to prepare these financial statements and disclosures.</t>
  </si>
  <si>
    <t xml:space="preserve">The audit firm prepares the financial statements and disclosures, and then goes over them with the System's management and board. The System does not maintain an accountant on staff to prepare financial statements and disclosures internally. </t>
  </si>
  <si>
    <t>Due to the cost/benefit, we do not recommend any changes at this time. We will continue to work with the System to ensure both management and the board have a thorough understanding of these finanical statements and disclosures.</t>
  </si>
  <si>
    <t>Due to the cost/ benefit of addressing this issue, no action is planned at this time.</t>
  </si>
  <si>
    <t>Total Federal Expenditures for 7/1/18-6/30/19</t>
  </si>
  <si>
    <t>Schedule of Long-Term Debt - Any Differences ($1,560) - removed operating copier lease from long-term debt schedule</t>
  </si>
  <si>
    <t>Operating lease - copier/printer</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</si>
  <si>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</si>
  <si>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System does not maintain staff with the technical training to prepare their own financial statements and disclosures.</t>
  </si>
  <si>
    <t>10-1999 Local Match $28,800</t>
  </si>
  <si>
    <t>Marion Clinton Wash Co CTES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</si>
</sst>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5" fillId="0" borderId="0" xfId="0" quotePrefix="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51955</xdr:colOff>
          <xdr:row>2</xdr:row>
          <xdr:rowOff>147205</xdr:rowOff>
        </xdr:from>
        <xdr:to>
          <xdr:col>1</xdr:col>
          <xdr:colOff>966355</xdr:colOff>
          <xdr:row>7</xdr:row>
          <xdr:rowOff>20782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2</xdr:row>
          <xdr:rowOff>138546</xdr:rowOff>
        </xdr:from>
        <xdr:to>
          <xdr:col>1</xdr:col>
          <xdr:colOff>1958686</xdr:colOff>
          <xdr:row>7</xdr:row>
          <xdr:rowOff>12123</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Layout" zoomScale="91" zoomScaleNormal="110" zoomScalePageLayoutView="91"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1" t="s">
        <v>405</v>
      </c>
      <c r="J1" s="1982"/>
      <c r="K1" s="1982"/>
      <c r="L1" s="1982"/>
      <c r="M1" s="1982"/>
      <c r="N1" s="1982"/>
      <c r="O1" s="1982"/>
      <c r="P1" s="1982"/>
      <c r="Q1" s="1982"/>
      <c r="R1" s="1982"/>
      <c r="S1" s="1982"/>
    </row>
    <row r="2" spans="1:28" ht="12" customHeight="1" x14ac:dyDescent="0.2">
      <c r="A2" s="47" t="s">
        <v>1992</v>
      </c>
      <c r="D2" s="48"/>
      <c r="I2" s="1983" t="s">
        <v>979</v>
      </c>
      <c r="J2" s="1982"/>
      <c r="K2" s="1982"/>
      <c r="L2" s="1982"/>
      <c r="M2" s="1982"/>
      <c r="N2" s="1982"/>
      <c r="O2" s="1982"/>
      <c r="P2" s="1982"/>
      <c r="Q2" s="1982"/>
      <c r="R2" s="1982"/>
      <c r="S2" s="1982"/>
    </row>
    <row r="3" spans="1:28" ht="12" customHeight="1" x14ac:dyDescent="0.2">
      <c r="A3" s="155" t="s">
        <v>1944</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c r="C5" s="26" t="s">
        <v>910</v>
      </c>
      <c r="D5" s="84"/>
      <c r="E5" s="84"/>
      <c r="H5" s="38"/>
      <c r="I5" s="1991" t="s">
        <v>680</v>
      </c>
      <c r="J5" s="1990"/>
      <c r="K5" s="1990"/>
      <c r="L5" s="1990"/>
      <c r="M5" s="1990"/>
      <c r="N5" s="1990"/>
      <c r="O5" s="1990"/>
      <c r="P5" s="1990"/>
      <c r="Q5" s="1990"/>
      <c r="R5" s="1990"/>
      <c r="S5" s="1990"/>
    </row>
    <row r="6" spans="1:28" ht="14.1" customHeight="1" x14ac:dyDescent="0.2">
      <c r="B6" s="104" t="s">
        <v>2063</v>
      </c>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2063</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13000000046</v>
      </c>
      <c r="B13" s="2017"/>
      <c r="C13" s="2017"/>
      <c r="D13" s="2017"/>
      <c r="E13" s="2017"/>
      <c r="F13" s="2017"/>
      <c r="G13" s="2017"/>
      <c r="H13" s="2018"/>
      <c r="I13" s="31"/>
      <c r="J13" s="30"/>
      <c r="K13" s="28"/>
      <c r="L13" s="30"/>
      <c r="M13" s="30"/>
      <c r="N13" s="30"/>
      <c r="O13" s="30"/>
      <c r="P13" s="30"/>
      <c r="Q13" s="30"/>
      <c r="R13" s="30"/>
      <c r="S13" s="30"/>
      <c r="T13" s="2021" t="s">
        <v>2071</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2064</v>
      </c>
      <c r="B15" s="2019"/>
      <c r="C15" s="2019"/>
      <c r="D15" s="2019"/>
      <c r="E15" s="2019"/>
      <c r="F15" s="2019"/>
      <c r="G15" s="2019"/>
      <c r="H15" s="2020"/>
      <c r="T15" s="2025" t="s">
        <v>2072</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2091</v>
      </c>
      <c r="B17" s="1976"/>
      <c r="C17" s="1976"/>
      <c r="D17" s="1976"/>
      <c r="E17" s="1976"/>
      <c r="F17" s="1976"/>
      <c r="G17" s="1976"/>
      <c r="H17" s="2001"/>
      <c r="T17" s="2032" t="s">
        <v>2073</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2065</v>
      </c>
      <c r="B19" s="1961"/>
      <c r="C19" s="1961"/>
      <c r="D19" s="1961"/>
      <c r="E19" s="1961"/>
      <c r="F19" s="1961"/>
      <c r="G19" s="1961"/>
      <c r="H19" s="1941"/>
      <c r="I19" s="30"/>
      <c r="J19" s="99"/>
      <c r="K19" s="40"/>
      <c r="L19" s="38"/>
      <c r="M19" s="112" t="s">
        <v>315</v>
      </c>
      <c r="P19" s="27"/>
      <c r="Q19" s="27"/>
      <c r="R19" s="27"/>
      <c r="S19" s="31"/>
      <c r="T19" s="2015" t="s">
        <v>2066</v>
      </c>
      <c r="U19" s="1940"/>
      <c r="V19" s="1940"/>
      <c r="W19" s="1941"/>
      <c r="X19" s="2030" t="s">
        <v>2074</v>
      </c>
      <c r="Y19" s="2031"/>
      <c r="Z19" s="2028">
        <v>62881</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2066</v>
      </c>
      <c r="B21" s="1940"/>
      <c r="C21" s="1940"/>
      <c r="D21" s="1940"/>
      <c r="E21" s="1940"/>
      <c r="F21" s="1940"/>
      <c r="G21" s="1940"/>
      <c r="H21" s="1941"/>
      <c r="I21" s="1995" t="s">
        <v>678</v>
      </c>
      <c r="J21" s="1990"/>
      <c r="K21" s="1990"/>
      <c r="L21" s="1990"/>
      <c r="M21" s="1990"/>
      <c r="N21" s="1990"/>
      <c r="O21" s="1990"/>
      <c r="P21" s="1990"/>
      <c r="Q21" s="1990"/>
      <c r="R21" s="1990"/>
      <c r="S21" s="1996"/>
      <c r="T21" s="2039" t="s">
        <v>2075</v>
      </c>
      <c r="U21" s="2040"/>
      <c r="V21" s="2040"/>
      <c r="W21" s="2040"/>
      <c r="X21" s="2045" t="s">
        <v>2076</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c r="B23" s="1993"/>
      <c r="C23" s="1993"/>
      <c r="D23" s="1993"/>
      <c r="E23" s="1993"/>
      <c r="F23" s="1993"/>
      <c r="G23" s="1993"/>
      <c r="H23" s="1994"/>
      <c r="T23" s="1975" t="s">
        <v>2077</v>
      </c>
      <c r="U23" s="2038"/>
      <c r="V23" s="2038"/>
      <c r="W23" s="2038"/>
      <c r="X23" s="2042"/>
      <c r="Y23" s="2043"/>
      <c r="Z23" s="2043"/>
      <c r="AA23" s="2044"/>
    </row>
    <row r="24" spans="1:27" ht="14.1" customHeight="1" x14ac:dyDescent="0.2">
      <c r="A24" s="88" t="s">
        <v>677</v>
      </c>
      <c r="B24" s="49"/>
      <c r="C24" s="49"/>
      <c r="D24" s="49"/>
      <c r="E24" s="49"/>
      <c r="F24" s="49"/>
      <c r="G24" s="49"/>
      <c r="H24" s="61"/>
      <c r="J24" s="1962" t="str">
        <f>IF(B5="x",IF(AUDITCHECK!D29="AFR form Incomplete.","",IF(AUDITCHECK!D29="Deficit reduction plan is required.","School District must complete a deficit reduction plan in the 2019-2020 Budget",)),"")</f>
        <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62881</v>
      </c>
      <c r="B25" s="1940"/>
      <c r="C25" s="1940"/>
      <c r="D25" s="1940"/>
      <c r="E25" s="1940"/>
      <c r="F25" s="1940"/>
      <c r="G25" s="1940"/>
      <c r="H25" s="1941"/>
      <c r="I25" s="113"/>
      <c r="J25" s="1964"/>
      <c r="K25" s="1964"/>
      <c r="L25" s="1964"/>
      <c r="M25" s="1964"/>
      <c r="N25" s="1964"/>
      <c r="O25" s="1964"/>
      <c r="P25" s="1964"/>
      <c r="Q25" s="1964"/>
      <c r="R25" s="1964"/>
      <c r="S25" s="1965"/>
      <c r="T25" s="2035"/>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2063</v>
      </c>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2067</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2068</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2069</v>
      </c>
      <c r="B42" s="1959"/>
      <c r="C42" s="1960"/>
      <c r="D42" s="1958" t="s">
        <v>2070</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9" right="0.2" top="0.75" bottom="0.52" header="0.19" footer="0.17"/>
  <pageSetup scale="73" orientation="landscape" r:id="rId3"/>
  <headerFooter alignWithMargins="0">
    <oddFooter xml:space="preserve">&amp;C- 6 -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topLeftCell="A10" colorId="8" zoomScaleNormal="110" workbookViewId="0">
      <selection activeCell="C30" sqref="C30"/>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1950</v>
      </c>
      <c r="C2" s="714" t="s">
        <v>1951</v>
      </c>
      <c r="D2" s="714" t="s">
        <v>1952</v>
      </c>
      <c r="E2" s="714" t="s">
        <v>1953</v>
      </c>
      <c r="F2" s="714" t="s">
        <v>1954</v>
      </c>
    </row>
    <row r="3" spans="1:6" ht="12" customHeight="1" x14ac:dyDescent="0.2">
      <c r="A3" s="2182"/>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gridLinesSet="0"/>
  <pageMargins left="0.25" right="0.15" top="1.65" bottom="0.52" header="0.81" footer="0.2"/>
  <pageSetup firstPageNumber="23" orientation="landscape" useFirstPageNumber="1" r:id="rId1"/>
  <headerFooter alignWithMargins="0">
    <oddHeader>&amp;CMarion, Clinton, Washington Counties Career and Technical Education System</oddHeader>
    <oddFooter xml:space="preserve">&amp;L&amp;8See accompanying notes to the financial statements.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view="pageLayout" topLeftCell="B32" colorId="8" zoomScaleNormal="110" workbookViewId="0">
      <selection activeCell="A17" sqref="A1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1955</v>
      </c>
      <c r="D2" s="723" t="s">
        <v>1956</v>
      </c>
      <c r="E2" s="723" t="s">
        <v>1957</v>
      </c>
      <c r="F2" s="1884" t="s">
        <v>1958</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2078</v>
      </c>
      <c r="B31" s="733">
        <v>42231</v>
      </c>
      <c r="C31" s="734">
        <v>3600</v>
      </c>
      <c r="D31" s="735">
        <v>7</v>
      </c>
      <c r="E31" s="734">
        <v>1560</v>
      </c>
      <c r="F31" s="734"/>
      <c r="G31" s="734">
        <v>-1560</v>
      </c>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3600</v>
      </c>
      <c r="D49" s="745"/>
      <c r="E49" s="1756">
        <f t="shared" ref="E49:J49" si="2">SUM(E31:E48)</f>
        <v>1560</v>
      </c>
      <c r="F49" s="1756">
        <f t="shared" si="2"/>
        <v>0</v>
      </c>
      <c r="G49" s="1756">
        <f t="shared" si="2"/>
        <v>-1560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2087</v>
      </c>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41" right="0.15" top="0.46" bottom="0.45" header="0.26" footer="0.22"/>
  <pageSetup scale="72" firstPageNumber="27" fitToHeight="0" orientation="landscape" useFirstPageNumber="1" r:id="rId1"/>
  <headerFooter alignWithMargins="0">
    <oddHeader>&amp;CMarion, Clinton, Washington Counties Career and Technical Education System</oddHeader>
    <oddFooter>&amp;L&amp;9See accompanying notes to the financial statements.
&amp;C-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topLeftCell="A19" colorId="8"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1963</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0</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0</v>
      </c>
      <c r="I23" s="1758">
        <f>SUM(I14:I16,I21,I22)</f>
        <v>0</v>
      </c>
      <c r="J23" s="1758">
        <f>SUM(J14:J16,J21,J22)</f>
        <v>0</v>
      </c>
      <c r="K23" s="1758">
        <f>SUM(K14:K16,K21,K22)</f>
        <v>0</v>
      </c>
    </row>
    <row r="24" spans="1:11" ht="14.25" thickTop="1" thickBot="1" x14ac:dyDescent="0.25">
      <c r="A24" s="2246" t="s">
        <v>1964</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35" right="0.17" top="0.57999999999999996" bottom="0.4" header="0.21" footer="0.2"/>
  <pageSetup scale="83" firstPageNumber="25" orientation="landscape" useFirstPageNumber="1" r:id="rId1"/>
  <headerFooter>
    <oddHeader xml:space="preserve">&amp;C&amp;"Arial,Bold"Marion, Clinton, Washington Counties Career and Technical Education System
Schedule of Restricted Local Tax Levies and Selected Revenues Sources 
Schedule of Tort Immunity Expenditures </oddHeader>
    <oddFooter>&amp;L&amp;8See accompanying notes to the financial statements.&amp;C- 31 -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topLeftCell="B12" colorId="8" zoomScaleNormal="110" workbookViewId="0">
      <selection activeCell="A17" sqref="A1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1045263</v>
      </c>
      <c r="D12" s="844">
        <v>156914</v>
      </c>
      <c r="E12" s="844">
        <v>89704</v>
      </c>
      <c r="F12" s="1760">
        <f>(C12+D12)-E12</f>
        <v>1112473</v>
      </c>
      <c r="G12" s="843">
        <v>10</v>
      </c>
      <c r="H12" s="765">
        <v>585702</v>
      </c>
      <c r="I12" s="765">
        <v>111247</v>
      </c>
      <c r="J12" s="765">
        <v>89704</v>
      </c>
      <c r="K12" s="1769">
        <f>(H12+I12)-J12</f>
        <v>607245</v>
      </c>
      <c r="L12" s="1769">
        <f>F12-K12</f>
        <v>505228</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1045263</v>
      </c>
      <c r="D16" s="1760">
        <f>SUM(D3,D5:D6,D8:D10,D12:D15)</f>
        <v>156914</v>
      </c>
      <c r="E16" s="1760">
        <f>SUM(E3,E5:E6,E8:E10,E12:E15)</f>
        <v>89704</v>
      </c>
      <c r="F16" s="1760">
        <f>SUM(F3,F5:F6,F8:F10,F12:F15)</f>
        <v>1112473</v>
      </c>
      <c r="G16" s="843"/>
      <c r="H16" s="1760">
        <f>SUM(H3,H6,H8:H10,H12:H14,)</f>
        <v>585702</v>
      </c>
      <c r="I16" s="1760">
        <f>SUM(I3,I6,I8:I10,I12:I14,)</f>
        <v>111247</v>
      </c>
      <c r="J16" s="1760">
        <f>SUM(J3,J6,J8:J10,J12:J14,)</f>
        <v>89704</v>
      </c>
      <c r="K16" s="1760">
        <f>(H16+I16)-J16</f>
        <v>607245</v>
      </c>
      <c r="L16" s="1760">
        <f>F16-K16</f>
        <v>505228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111247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ageMargins left="0.4" right="0.17" top="1.1000000000000001" bottom="0.66" header="0.59" footer="0.33"/>
  <pageSetup scale="80" firstPageNumber="28" orientation="landscape" useFirstPageNumber="1" r:id="rId1"/>
  <headerFooter alignWithMargins="0">
    <oddHeader>&amp;CMarion, Clinton, Washington Counties Career and Technical Education System</oddHeader>
    <oddFooter>&amp;L&amp;9See accompanying notes to the financial statements.
&amp;C -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3" activePane="bottomLeft" state="frozen"/>
      <selection activeCell="A47" sqref="A47"/>
      <selection pane="bottomLeft" activeCell="I179" sqref="I1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1974</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596416</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596416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31914</v>
      </c>
      <c r="G53" s="865"/>
    </row>
    <row r="54" spans="1:7" x14ac:dyDescent="0.2">
      <c r="A54" s="869" t="s">
        <v>459</v>
      </c>
      <c r="B54" s="869" t="s">
        <v>1476</v>
      </c>
      <c r="C54" s="889" t="s">
        <v>982</v>
      </c>
      <c r="D54" s="885" t="s">
        <v>1095</v>
      </c>
      <c r="E54" s="868"/>
      <c r="F54" s="1913">
        <f>'Expenditures 15-22'!G114</f>
        <v>156914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188828</v>
      </c>
      <c r="G76" s="865"/>
    </row>
    <row r="77" spans="1:8" s="893" customFormat="1" ht="12" customHeight="1" thickTop="1" thickBot="1" x14ac:dyDescent="0.25">
      <c r="A77" s="1779"/>
      <c r="B77" s="1776"/>
      <c r="C77" s="1772"/>
      <c r="D77" s="1777" t="s">
        <v>1899</v>
      </c>
      <c r="E77" s="1774"/>
      <c r="F77" s="1780">
        <f>(F14-F76)</f>
        <v>407588</v>
      </c>
      <c r="G77" s="869"/>
    </row>
    <row r="78" spans="1:8" s="893" customFormat="1" ht="12" customHeight="1" thickTop="1" x14ac:dyDescent="0.2">
      <c r="A78" s="1781"/>
      <c r="B78" s="1776"/>
      <c r="C78" s="1772"/>
      <c r="D78" s="1777" t="s">
        <v>2061</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389510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0</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0</v>
      </c>
      <c r="G125" s="930"/>
    </row>
    <row r="126" spans="1:7" x14ac:dyDescent="0.2">
      <c r="A126" s="927" t="s">
        <v>668</v>
      </c>
      <c r="B126" s="927" t="s">
        <v>2023</v>
      </c>
      <c r="C126" s="932">
        <v>4300</v>
      </c>
      <c r="D126" s="933" t="str">
        <f>'Revenues 9-14'!A204</f>
        <v>Total Title I</v>
      </c>
      <c r="E126" s="906"/>
      <c r="F126" s="1789">
        <f>SUM('Revenues 9-14'!C204,'Revenues 9-14'!D204,'Revenues 9-14'!F204,'Revenues 9-14'!G204)</f>
        <v>0</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132514</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522024</v>
      </c>
    </row>
    <row r="175" spans="1:7" ht="12" customHeight="1" x14ac:dyDescent="0.2">
      <c r="A175" s="1770"/>
      <c r="B175" s="1784"/>
      <c r="C175" s="1785"/>
      <c r="D175" s="1786" t="s">
        <v>2056</v>
      </c>
      <c r="E175" s="1787"/>
      <c r="F175" s="1789">
        <f>'PCTC-OEPP 27-28'!F77-F174</f>
        <v>-114436</v>
      </c>
    </row>
    <row r="176" spans="1:7" ht="12" customHeight="1" x14ac:dyDescent="0.2">
      <c r="A176" s="1770"/>
      <c r="B176" s="1784"/>
      <c r="C176" s="1785"/>
      <c r="D176" s="1786" t="s">
        <v>1817</v>
      </c>
      <c r="E176" s="1787"/>
      <c r="F176" s="1789">
        <f>'Cap Outlay Deprec 26'!I18</f>
        <v>111247</v>
      </c>
    </row>
    <row r="177" spans="1:7" ht="12" customHeight="1" x14ac:dyDescent="0.2">
      <c r="A177" s="1770"/>
      <c r="B177" s="1784"/>
      <c r="C177" s="1785"/>
      <c r="D177" s="1786" t="s">
        <v>2057</v>
      </c>
      <c r="E177" s="1787"/>
      <c r="F177" s="1789">
        <f>F175+F176</f>
        <v>-3189</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2058</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ageMargins left="0.54" right="0.2" top="1" bottom="0.61" header="0.69" footer="0.32"/>
  <pageSetup scale="70" firstPageNumber="33" orientation="portrait" useFirstPageNumber="1" r:id="rId2"/>
  <headerFooter alignWithMargins="0">
    <oddHeader>&amp;CMarion, Clinton, Washington Counties Career and Technical Education System</oddHeader>
    <oddFooter>&amp;L&amp;8See accompanying notes to the financial statements.
&amp;C- &amp;P -</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34"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1931</v>
      </c>
      <c r="B7" s="2275"/>
      <c r="C7" s="2275"/>
      <c r="D7" s="2275"/>
      <c r="E7" s="2275"/>
      <c r="F7" s="2275"/>
      <c r="G7" s="2276"/>
    </row>
    <row r="8" spans="1:7" ht="15.75" customHeight="1" x14ac:dyDescent="0.25">
      <c r="A8" s="2277" t="s">
        <v>1906</v>
      </c>
      <c r="B8" s="2278"/>
      <c r="C8" s="2278"/>
      <c r="D8" s="2278"/>
      <c r="E8" s="2278"/>
      <c r="F8" s="2278"/>
      <c r="G8" s="2279"/>
    </row>
    <row r="9" spans="1:7" ht="35.25" customHeight="1" x14ac:dyDescent="0.25">
      <c r="A9" s="2274" t="s">
        <v>1934</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1933</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1975</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sheet="1" selectLockedCells="1"/>
  <mergeCells count="6">
    <mergeCell ref="A13:G13"/>
    <mergeCell ref="A4:G5"/>
    <mergeCell ref="A11:G11"/>
    <mergeCell ref="A7:G7"/>
    <mergeCell ref="A8:G8"/>
    <mergeCell ref="A9:G9"/>
  </mergeCells>
  <pageMargins left="0.38" right="0.2" top="0.5" bottom="0" header="0.3" footer="0.22"/>
  <pageSetup scale="82" firstPageNumber="35" fitToHeight="0" orientation="landscape" useFirstPageNumber="1" r:id="rId1"/>
  <headerFooter>
    <oddHeader>&amp;CMarion, Clinton, Washington Counties Career and Technical Education System</oddHeader>
    <oddFooter>&amp;LSee accompanying notes to the financial statements.
&amp;C-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5" t="s">
        <v>1976</v>
      </c>
      <c r="B11" s="2286"/>
      <c r="C11" s="2286"/>
      <c r="D11" s="2287"/>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272113</v>
      </c>
      <c r="F19" s="1799"/>
      <c r="G19" s="1801">
        <f>'Expenditures 15-22'!K33-SUM('Expenditures 15-22'!G33,'Expenditures 15-22'!I33)+'Expenditures 15-22'!D229</f>
        <v>272113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59526</v>
      </c>
      <c r="F22" s="1802"/>
      <c r="G22" s="1805">
        <f>'Expenditures 15-22'!K47-SUM('Expenditures 15-22'!G47,'Expenditures 15-22'!I47)+'Expenditures 15-22'!D243</f>
        <v>59526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16174</v>
      </c>
      <c r="F23" s="1802"/>
      <c r="G23" s="1804">
        <f>'Expenditures 15-22'!K53-SUM('Expenditures 15-22'!G53,'Expenditures 15-22'!I53)+'Expenditures 15-22'!D257+'Expenditures 15-22'!K330-SUM('Expenditures 15-22'!G330,'Expenditures 15-22'!I330)</f>
        <v>16174</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59775</v>
      </c>
      <c r="E27" s="1804">
        <f>E8</f>
        <v>0</v>
      </c>
      <c r="F27" s="1804">
        <f>'Expenditures 15-22'!K60-SUM('Expenditures 15-22'!G60,'Expenditures 15-22'!I60)+'Expenditures 15-22'!D264-E8</f>
        <v>59775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59775</v>
      </c>
      <c r="E41" s="1806">
        <f>SUM(E19:E40)</f>
        <v>347813</v>
      </c>
      <c r="F41" s="1806">
        <f>SUM(F19:F39)</f>
        <v>59775</v>
      </c>
      <c r="G41" s="1806">
        <f>SUM(G19:G40)</f>
        <v>347813</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59775</v>
      </c>
      <c r="F43" s="1807" t="s">
        <v>473</v>
      </c>
      <c r="G43" s="1808">
        <f>F41</f>
        <v>59775</v>
      </c>
    </row>
    <row r="44" spans="1:7" ht="12" customHeight="1" x14ac:dyDescent="0.2">
      <c r="A44" s="987"/>
      <c r="B44" s="162"/>
      <c r="C44" s="1001"/>
      <c r="D44" s="1807" t="s">
        <v>474</v>
      </c>
      <c r="E44" s="1808">
        <f>E41</f>
        <v>347813</v>
      </c>
      <c r="F44" s="1807" t="s">
        <v>474</v>
      </c>
      <c r="G44" s="1808">
        <f>G41</f>
        <v>347813</v>
      </c>
    </row>
    <row r="45" spans="1:7" ht="12" customHeight="1" x14ac:dyDescent="0.2">
      <c r="A45" s="987"/>
      <c r="B45" s="162"/>
      <c r="C45" s="162"/>
      <c r="D45" s="1809" t="s">
        <v>1006</v>
      </c>
      <c r="E45" s="1810">
        <f>(E43/E44)</f>
        <v>0.17185959121711955</v>
      </c>
      <c r="F45" s="1809" t="s">
        <v>1006</v>
      </c>
      <c r="G45" s="1810">
        <f>(G43/G44)</f>
        <v>0.17185959121711955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49" header="0.39" footer="0.22"/>
  <pageSetup scale="85" firstPageNumber="30" orientation="landscape" useFirstPageNumber="1" r:id="rId1"/>
  <headerFooter alignWithMargins="0">
    <oddHeader>&amp;C&amp;"Arial,Bold"Marion, Clinton, Washington Counties Career and Technical Education System
ESTIMATED INDIRECT COST DATA</oddHeader>
    <oddFooter>&amp;L&amp;8See accompanying notes to the financial statements.
&amp;C- 38 -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6" activePane="bottomLeft" state="frozen"/>
      <selection activeCell="A47" sqref="A47"/>
      <selection pane="bottomLeft" activeCell="C12" sqref="C1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Marion Clinton Wash Co CTES</v>
      </c>
      <c r="D6" s="2306"/>
      <c r="E6" s="2306"/>
      <c r="F6" s="1852"/>
    </row>
    <row r="7" spans="1:10" ht="11.25" customHeight="1" thickBot="1" x14ac:dyDescent="0.3">
      <c r="A7" s="1850"/>
      <c r="B7" s="1851"/>
      <c r="C7" s="2307">
        <f>COVER!A13</f>
        <v>13000000046</v>
      </c>
      <c r="D7" s="2307"/>
      <c r="E7" s="2307"/>
      <c r="F7" s="1852"/>
    </row>
    <row r="8" spans="1:10" ht="25.5" customHeight="1" thickBot="1" x14ac:dyDescent="0.25">
      <c r="A8" s="1893" t="s">
        <v>1907</v>
      </c>
      <c r="B8" s="1853" t="s">
        <v>2063</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2" right="0.2" top="0.6" bottom="0.68" header="0.43" footer="0.23"/>
  <pageSetup scale="85" orientation="landscape" r:id="rId1"/>
  <headerFooter>
    <oddHeader>&amp;CMarion, Clinton, Washington Counties Career and Technical Education System</oddHeader>
    <oddFooter>&amp;LSee accompanying notes to the financial statements.
&amp;C- 37 -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4" colorId="8"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Marion Clinton Wash Co CTES</v>
      </c>
      <c r="J6" s="2316"/>
      <c r="Q6" s="1664"/>
    </row>
    <row r="7" spans="1:17" x14ac:dyDescent="0.2">
      <c r="A7" s="2317" t="s">
        <v>869</v>
      </c>
      <c r="B7" s="2318"/>
      <c r="C7" s="2318"/>
      <c r="D7" s="2318"/>
      <c r="E7" s="2319"/>
      <c r="F7" s="1017"/>
      <c r="G7" s="1009"/>
      <c r="H7" s="1016" t="s">
        <v>372</v>
      </c>
      <c r="I7" s="2320">
        <f>COVER!A13</f>
        <v>13000000046</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16174</v>
      </c>
      <c r="F12" s="1039"/>
      <c r="G12" s="1811">
        <f t="shared" ref="G12:G18" si="0">SUM(E12:F12)</f>
        <v>16174</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16174</v>
      </c>
      <c r="F19" s="1813">
        <f t="shared" si="2"/>
        <v>0</v>
      </c>
      <c r="G19" s="1813">
        <f t="shared" si="2"/>
        <v>16174</v>
      </c>
      <c r="H19" s="1813">
        <f t="shared" si="2"/>
        <v>0</v>
      </c>
      <c r="I19" s="1813">
        <f t="shared" si="2"/>
        <v>0</v>
      </c>
      <c r="J19" s="1813">
        <f t="shared" si="2"/>
        <v>0</v>
      </c>
    </row>
    <row r="20" spans="1:10" ht="13.5" thickTop="1" x14ac:dyDescent="0.2">
      <c r="A20" s="1035">
        <v>9</v>
      </c>
      <c r="B20" s="2327" t="s">
        <v>1980</v>
      </c>
      <c r="C20" s="2327"/>
      <c r="D20" s="2328"/>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1982</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67" header="0.44" footer="0.33"/>
  <pageSetup scale="90" firstPageNumber="31" orientation="landscape" useFirstPageNumber="1" r:id="rId1"/>
  <headerFooter alignWithMargins="0">
    <oddHeader>&amp;CMarion, Clinton, Washington Counties Career and Technical Education System</oddHeader>
    <oddFooter>&amp;LSee accompanying notes to the financial statements.
&amp;C- 38 -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view="pageLayout" topLeftCell="A43" zoomScaleNormal="110" workbookViewId="0">
      <selection activeCell="A17" sqref="A1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8" t="s">
        <v>2090</v>
      </c>
    </row>
    <row r="6" spans="1:2" x14ac:dyDescent="0.2">
      <c r="A6" s="1068">
        <v>2</v>
      </c>
      <c r="B6" s="329" t="s">
        <v>2079</v>
      </c>
    </row>
    <row r="7" spans="1:2" x14ac:dyDescent="0.2">
      <c r="A7" s="1068">
        <v>3</v>
      </c>
      <c r="B7" s="329" t="s">
        <v>2086</v>
      </c>
    </row>
    <row r="8" spans="1:2" x14ac:dyDescent="0.2">
      <c r="A8" s="1069"/>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row>
    <row r="64" spans="1:2" x14ac:dyDescent="0.2">
      <c r="B64" s="1070"/>
    </row>
  </sheetData>
  <phoneticPr fontId="13" type="noConversion"/>
  <pageMargins left="0.61" right="0.2" top="1.17" bottom="0.85" header="0.73" footer="0.51"/>
  <pageSetup scale="80" firstPageNumber="32" orientation="portrait" useFirstPageNumber="1" r:id="rId1"/>
  <headerFooter alignWithMargins="0">
    <oddHeader>&amp;CMarion, Clinton, Washington Counties Career and Technical Education System</oddHeader>
    <oddFooter>&amp;L&amp;9See accompanying notes to the financial statements.
&amp;C- 29 -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Layout" topLeftCell="A22" zoomScaleNormal="110" workbookViewId="0">
      <selection activeCell="B86" sqref="B8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Header>&amp;CMarion, Clinton, Washington Counties Career and Technical Education System</oddHeader>
    <oddFooter>&amp;LSee accompanying notes to the financial statements.
&amp;C- 7 -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75" right="0.75" top="1" bottom="1" header="0.5" footer="0.5"/>
  <pageSetup scale="80" firstPageNumber="33" orientation="portrait" useFirstPageNumber="1" r:id="rId1"/>
  <headerFooter alignWithMargins="0">
    <oddHeader>&amp;CMarion, Clinton, Washington Counties Career and Technical Education System</oddHeader>
    <oddFooter>&amp;LSee accompanying notes to the financial statements.
&amp;C- 40 -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7" sqref="C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47625</xdr:colOff>
                <xdr:row>2</xdr:row>
                <xdr:rowOff>142875</xdr:rowOff>
              </from>
              <to>
                <xdr:col>1</xdr:col>
                <xdr:colOff>962025</xdr:colOff>
                <xdr:row>7</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1047750</xdr:colOff>
                <xdr:row>2</xdr:row>
                <xdr:rowOff>142875</xdr:rowOff>
              </from>
              <to>
                <xdr:col>1</xdr:col>
                <xdr:colOff>1962150</xdr:colOff>
                <xdr:row>7</xdr:row>
                <xdr:rowOff>9525</xdr:rowOff>
              </to>
            </anchor>
          </objectPr>
        </oleObject>
      </mc:Choice>
      <mc:Fallback>
        <oleObject progId="Acrobat 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1986</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1987</v>
      </c>
      <c r="B4" s="2355"/>
      <c r="C4" s="2355"/>
      <c r="D4" s="2355"/>
      <c r="E4" s="2355"/>
      <c r="F4" s="2356"/>
      <c r="G4" s="1074"/>
      <c r="H4" s="1074"/>
    </row>
    <row r="5" spans="1:8" ht="14.25" customHeight="1" x14ac:dyDescent="0.2">
      <c r="A5" s="2357" t="s">
        <v>1983</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552102</v>
      </c>
      <c r="C8" s="1815">
        <f>'Acct Summary 7-8'!D8</f>
        <v>0</v>
      </c>
      <c r="D8" s="1815">
        <f>'Acct Summary 7-8'!F8</f>
        <v>0</v>
      </c>
      <c r="E8" s="1815">
        <f>'Acct Summary 7-8'!I8</f>
        <v>0</v>
      </c>
      <c r="F8" s="1815">
        <f>SUM(B8:E8)</f>
        <v>552102</v>
      </c>
    </row>
    <row r="9" spans="1:8" s="1079" customFormat="1" ht="14.25" customHeight="1" thickBot="1" x14ac:dyDescent="0.25">
      <c r="A9" s="1078" t="s">
        <v>1369</v>
      </c>
      <c r="B9" s="1816">
        <f>'Acct Summary 7-8'!C17</f>
        <v>596416</v>
      </c>
      <c r="C9" s="1816">
        <f>'Acct Summary 7-8'!D17</f>
        <v>0</v>
      </c>
      <c r="D9" s="1816">
        <f>'Acct Summary 7-8'!F17</f>
        <v>0</v>
      </c>
      <c r="E9" s="1815"/>
      <c r="F9" s="1815">
        <f>SUM(B9:E9)</f>
        <v>596416</v>
      </c>
    </row>
    <row r="10" spans="1:8" s="1079" customFormat="1" ht="14.25" thickTop="1" thickBot="1" x14ac:dyDescent="0.25">
      <c r="A10" s="1080" t="s">
        <v>1370</v>
      </c>
      <c r="B10" s="1817">
        <f>(B8-B9)</f>
        <v>-44314</v>
      </c>
      <c r="C10" s="1817">
        <f>(C8-C9)</f>
        <v>0</v>
      </c>
      <c r="D10" s="1817">
        <f>(D8-D9)</f>
        <v>0</v>
      </c>
      <c r="E10" s="1816">
        <f>(E8-E9)</f>
        <v>0</v>
      </c>
      <c r="F10" s="1818">
        <f>SUM(F8-F9)</f>
        <v>-44314</v>
      </c>
    </row>
    <row r="11" spans="1:8" s="1079" customFormat="1" ht="14.25" thickTop="1" thickBot="1" x14ac:dyDescent="0.25">
      <c r="A11" s="1081" t="s">
        <v>1984</v>
      </c>
      <c r="B11" s="1819">
        <f>'Acct Summary 7-8'!C81</f>
        <v>253620</v>
      </c>
      <c r="C11" s="1819">
        <f>'Acct Summary 7-8'!D81</f>
        <v>0</v>
      </c>
      <c r="D11" s="1819">
        <f>'Acct Summary 7-8'!F81</f>
        <v>0</v>
      </c>
      <c r="E11" s="1819">
        <f>'Acct Summary 7-8'!I81</f>
        <v>0</v>
      </c>
      <c r="F11" s="1820">
        <f>SUM(B11:E11)</f>
        <v>253620</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&amp;CMarion, Clinton, Washington Counties Career and Technical Education System</oddHeader>
    <oddFooter>&amp;LSee accompanying notes to the financial statements.
&amp;C- 41 -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Layout" topLeftCell="A20" colorId="8" zoomScaleNormal="110" workbookViewId="0">
      <selection activeCell="D57" sqref="D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Header>&amp;CMarion, Clinton, Washington Counties Career and Technical Education System</oddHeader>
    <oddFooter>&amp;L&amp;8See accompanying notes to the financial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13000000046</v>
      </c>
    </row>
    <row r="3" spans="1:2" x14ac:dyDescent="0.2">
      <c r="A3" t="s">
        <v>956</v>
      </c>
      <c r="B3" s="138" t="str">
        <f>COVER!A15</f>
        <v>Marion</v>
      </c>
    </row>
    <row r="4" spans="1:2" x14ac:dyDescent="0.2">
      <c r="A4" t="s">
        <v>1007</v>
      </c>
      <c r="B4" s="138" t="str">
        <f>COVER!A17</f>
        <v>Marion Clinton Wash Co CTES</v>
      </c>
    </row>
    <row r="5" spans="1:2" x14ac:dyDescent="0.2">
      <c r="A5" t="s">
        <v>704</v>
      </c>
      <c r="B5" s="138" t="str">
        <f>COVER!A38</f>
        <v>Ron Daniels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060-001832</v>
      </c>
    </row>
    <row r="16" spans="1:2" x14ac:dyDescent="0.2">
      <c r="A16" t="s">
        <v>422</v>
      </c>
      <c r="B16" s="138" t="str">
        <f>COVER!T13</f>
        <v>Leymone Hardcastle &amp; Co., Ltd.</v>
      </c>
    </row>
    <row r="17" spans="1:2" x14ac:dyDescent="0.2">
      <c r="A17" t="s">
        <v>884</v>
      </c>
      <c r="B17" s="138" t="str">
        <f>COVER!T15</f>
        <v>Sara E. Hanks</v>
      </c>
    </row>
    <row r="18" spans="1:2" x14ac:dyDescent="0.2">
      <c r="A18" t="s">
        <v>1150</v>
      </c>
      <c r="B18" s="138" t="str">
        <f>COVER!T17</f>
        <v>200 West Main Street</v>
      </c>
    </row>
    <row r="19" spans="1:2" x14ac:dyDescent="0.2">
      <c r="A19" t="s">
        <v>886</v>
      </c>
      <c r="B19" s="138">
        <f>COVER!T25</f>
        <v>0</v>
      </c>
    </row>
    <row r="20" spans="1:2" x14ac:dyDescent="0.2">
      <c r="A20" t="s">
        <v>887</v>
      </c>
      <c r="B20" s="138" t="str">
        <f>COVER!T19</f>
        <v>Salem</v>
      </c>
    </row>
    <row r="21" spans="1:2" x14ac:dyDescent="0.2">
      <c r="A21" t="s">
        <v>479</v>
      </c>
      <c r="B21" s="138" t="str">
        <f>COVER!X19</f>
        <v>IL</v>
      </c>
    </row>
    <row r="22" spans="1:2" x14ac:dyDescent="0.2">
      <c r="A22" t="s">
        <v>888</v>
      </c>
      <c r="B22" s="138">
        <f>COVER!Z19</f>
        <v>62881</v>
      </c>
    </row>
    <row r="23" spans="1:2" x14ac:dyDescent="0.2">
      <c r="A23" t="s">
        <v>1152</v>
      </c>
      <c r="B23" s="138" t="str">
        <f>COVER!T21</f>
        <v>618-548-1002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253620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244882</v>
      </c>
      <c r="D92" s="2" t="str">
        <f t="shared" si="0"/>
        <v>Error?</v>
      </c>
    </row>
    <row r="93" spans="1:4" x14ac:dyDescent="0.2">
      <c r="A93" s="5">
        <v>32</v>
      </c>
      <c r="B93" s="138">
        <f>'Assets-Liab 5-6'!C41</f>
        <v>253620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1112473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1112473</v>
      </c>
      <c r="C279" s="2" t="s">
        <v>573</v>
      </c>
      <c r="D279" s="2" t="str">
        <f t="shared" si="3"/>
        <v>Error?</v>
      </c>
    </row>
    <row r="280" spans="1:4" x14ac:dyDescent="0.2">
      <c r="A280" s="5">
        <v>219</v>
      </c>
      <c r="B280" s="138">
        <f>'Assets-Liab 5-6'!M40</f>
        <v>1112473</v>
      </c>
      <c r="D280" s="2" t="str">
        <f t="shared" si="3"/>
        <v>Error?</v>
      </c>
    </row>
    <row r="281" spans="1:4" x14ac:dyDescent="0.2">
      <c r="A281" s="5">
        <v>220</v>
      </c>
      <c r="B281" s="138">
        <f>'Assets-Liab 5-6'!M41</f>
        <v>1112473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43294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43294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41833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41833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6167</v>
      </c>
      <c r="D733" s="2" t="str">
        <f t="shared" si="10"/>
        <v>Error?</v>
      </c>
    </row>
    <row r="734" spans="1:4" x14ac:dyDescent="0.2">
      <c r="A734" s="5">
        <v>673</v>
      </c>
      <c r="B734" s="138">
        <f>'Expenditures 15-22'!C53</f>
        <v>6167</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52003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52003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100003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143297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2749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2749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1866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1866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89</v>
      </c>
      <c r="D791" s="2" t="str">
        <f t="shared" si="11"/>
        <v>Error?</v>
      </c>
    </row>
    <row r="792" spans="1:4" x14ac:dyDescent="0.2">
      <c r="A792" s="5">
        <v>731</v>
      </c>
      <c r="B792" s="138">
        <f>'Expenditures 15-22'!D53</f>
        <v>89</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7221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7221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9176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11925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53641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53641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14547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14547</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9918</v>
      </c>
      <c r="D849" s="2" t="str">
        <f t="shared" si="12"/>
        <v>Error?</v>
      </c>
    </row>
    <row r="850" spans="1:4" x14ac:dyDescent="0.2">
      <c r="A850" s="5">
        <v>789</v>
      </c>
      <c r="B850" s="138">
        <f>'Expenditures 15-22'!E53</f>
        <v>9918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551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25016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78657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172429</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172429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1280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1280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1280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173709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156914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156914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156914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31914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31914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429027</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429027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59526</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59526</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16174</v>
      </c>
      <c r="C1121" s="2" t="s">
        <v>573</v>
      </c>
      <c r="D1121" s="2" t="str">
        <f t="shared" si="16"/>
        <v>Error?</v>
      </c>
    </row>
    <row r="1122" spans="1:4" x14ac:dyDescent="0.2">
      <c r="A1122" s="5">
        <v>1061</v>
      </c>
      <c r="B1122" s="138">
        <f>'Expenditures 15-22'!K53</f>
        <v>16174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59775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59775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135475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31914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596416</v>
      </c>
      <c r="C1152" s="2" t="s">
        <v>573</v>
      </c>
      <c r="D1152" s="2" t="str">
        <f t="shared" si="17"/>
        <v>Error?</v>
      </c>
    </row>
    <row r="1153" spans="1:4" x14ac:dyDescent="0.2">
      <c r="A1153" s="5">
        <v>1092</v>
      </c>
      <c r="B1153" s="138">
        <f>'Expenditures 15-22'!K115</f>
        <v>-44314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297934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253620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1560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1045263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1045263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156914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156914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89704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89704</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1112473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1112473</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585702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585702</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111247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111247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89704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89704</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607245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607245</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505228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505228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8738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30078</v>
      </c>
      <c r="C2551" s="2" t="s">
        <v>573</v>
      </c>
      <c r="D2551" s="2" t="str">
        <f t="shared" si="38"/>
        <v>Error?</v>
      </c>
    </row>
    <row r="2552" spans="1:4" x14ac:dyDescent="0.2">
      <c r="A2552" s="10">
        <v>2491</v>
      </c>
      <c r="D2552" s="2" t="str">
        <f t="shared" si="38"/>
        <v>OK</v>
      </c>
    </row>
    <row r="2553" spans="1:4" x14ac:dyDescent="0.2">
      <c r="A2553" s="5">
        <v>2492</v>
      </c>
      <c r="B2553" s="138">
        <f>'Acct Summary 7-8'!C6</f>
        <v>389510</v>
      </c>
      <c r="C2553" s="2" t="s">
        <v>573</v>
      </c>
      <c r="D2553" s="2" t="str">
        <f t="shared" si="38"/>
        <v>Error?</v>
      </c>
    </row>
    <row r="2554" spans="1:4" x14ac:dyDescent="0.2">
      <c r="A2554" s="5">
        <v>2493</v>
      </c>
      <c r="B2554" s="138">
        <f>'Acct Summary 7-8'!C7</f>
        <v>132514</v>
      </c>
      <c r="C2554" s="2" t="s">
        <v>573</v>
      </c>
      <c r="D2554" s="2" t="str">
        <f t="shared" si="38"/>
        <v>Error?</v>
      </c>
    </row>
    <row r="2555" spans="1:4" x14ac:dyDescent="0.2">
      <c r="A2555" s="5">
        <v>2494</v>
      </c>
      <c r="B2555" s="138">
        <f>'Acct Summary 7-8'!C8</f>
        <v>552102</v>
      </c>
      <c r="C2555" s="2" t="s">
        <v>573</v>
      </c>
      <c r="D2555" s="2" t="str">
        <f t="shared" si="38"/>
        <v>Error?</v>
      </c>
    </row>
    <row r="2556" spans="1:4" x14ac:dyDescent="0.2">
      <c r="A2556" s="5">
        <v>2495</v>
      </c>
      <c r="B2556" s="138">
        <f>'Acct Summary 7-8'!C12</f>
        <v>429027</v>
      </c>
      <c r="C2556" s="2" t="s">
        <v>573</v>
      </c>
      <c r="D2556" s="2" t="str">
        <f t="shared" si="38"/>
        <v>Error?</v>
      </c>
    </row>
    <row r="2557" spans="1:4" x14ac:dyDescent="0.2">
      <c r="A2557" s="5">
        <v>2496</v>
      </c>
      <c r="B2557" s="138">
        <f>'Acct Summary 7-8'!C13</f>
        <v>135475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31914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596416</v>
      </c>
      <c r="C2561" s="2" t="s">
        <v>573</v>
      </c>
      <c r="D2561" s="2" t="str">
        <f t="shared" si="39"/>
        <v>Error?</v>
      </c>
    </row>
    <row r="2562" spans="1:4" x14ac:dyDescent="0.2">
      <c r="A2562" s="5">
        <v>2501</v>
      </c>
      <c r="B2562" s="138">
        <f>'Acct Summary 7-8'!C20</f>
        <v>-44314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-44314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253620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7305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559407</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7305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603721</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-1560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253620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132514</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1278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1278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28800</v>
      </c>
      <c r="D5119" s="2" t="str">
        <f t="shared" ref="D5119:D5182" si="79">IF(ISBLANK(B5119),"OK",IF(A5119-B5119=0,"OK","Error?"))</f>
        <v>Error?</v>
      </c>
    </row>
    <row r="5120" spans="1:4" x14ac:dyDescent="0.2">
      <c r="A5120" s="5">
        <v>5059</v>
      </c>
      <c r="B5120" s="138">
        <f>'Revenues 9-14'!C108</f>
        <v>28800</v>
      </c>
      <c r="C5120" s="2" t="s">
        <v>573</v>
      </c>
      <c r="D5120" s="2" t="str">
        <f t="shared" si="79"/>
        <v>Error?</v>
      </c>
    </row>
    <row r="5121" spans="1:4" x14ac:dyDescent="0.2">
      <c r="A5121" s="5">
        <v>5060</v>
      </c>
      <c r="B5121" s="138">
        <f>'Revenues 9-14'!C109</f>
        <v>30078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389510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389510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389510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389510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132514</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132514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132514</v>
      </c>
      <c r="C5326" s="2" t="s">
        <v>573</v>
      </c>
      <c r="D5326" s="2" t="str">
        <f t="shared" si="82"/>
        <v>Error?</v>
      </c>
    </row>
    <row r="5327" spans="1:5" x14ac:dyDescent="0.2">
      <c r="A5327" s="5">
        <v>5266</v>
      </c>
      <c r="B5327" s="138">
        <f>'Revenues 9-14'!C268</f>
        <v>552102</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-44314</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-0.17472596798359752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31914</v>
      </c>
      <c r="D7009" s="2" t="str">
        <f t="shared" si="108"/>
        <v>Error?</v>
      </c>
    </row>
    <row r="7010" spans="1:4" x14ac:dyDescent="0.2">
      <c r="A7010">
        <v>6949</v>
      </c>
      <c r="B7010" s="138">
        <f>'Expenditures 15-22'!K99</f>
        <v>31914</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31914</v>
      </c>
      <c r="D7012" s="2" t="str">
        <f t="shared" si="108"/>
        <v>Error?</v>
      </c>
    </row>
    <row r="7013" spans="1:4" x14ac:dyDescent="0.2">
      <c r="A7013">
        <v>6952</v>
      </c>
      <c r="B7013" s="138">
        <f>'Expenditures 15-22'!K100</f>
        <v>31914</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111247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35"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1988</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Marion Clinton Wash Co CTES</v>
      </c>
      <c r="B7" s="2383"/>
      <c r="C7" s="2383"/>
      <c r="D7" s="2420"/>
      <c r="E7" s="2421">
        <f>COVER!A13</f>
        <v>13000000046</v>
      </c>
      <c r="F7" s="2422"/>
      <c r="G7" s="2389" t="str">
        <f>COVER!T23</f>
        <v>060-001832</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Leymone Hardcastle &amp; Co., Ltd.</v>
      </c>
      <c r="H9" s="2396"/>
      <c r="I9" s="2396"/>
      <c r="J9" s="2396"/>
      <c r="K9" s="2396"/>
      <c r="L9" s="2397"/>
    </row>
    <row r="10" spans="1:29" ht="13.5" customHeight="1" x14ac:dyDescent="0.2">
      <c r="A10" s="2379" t="str">
        <f>COVER!A38</f>
        <v>Ron Daniels</v>
      </c>
      <c r="B10" s="2380"/>
      <c r="C10" s="2380"/>
      <c r="D10" s="2380"/>
      <c r="E10" s="2380"/>
      <c r="F10" s="2381"/>
      <c r="G10" s="2395" t="str">
        <f>COVER!T17</f>
        <v>200 West Main Street</v>
      </c>
      <c r="H10" s="2408"/>
      <c r="I10" s="2408"/>
      <c r="J10" s="2408"/>
      <c r="K10" s="2408"/>
      <c r="L10" s="2409"/>
    </row>
    <row r="11" spans="1:29" ht="13.5" customHeight="1" x14ac:dyDescent="0.2">
      <c r="A11" s="1184" t="s">
        <v>1519</v>
      </c>
      <c r="B11" s="1185"/>
      <c r="C11" s="1186"/>
      <c r="D11" s="1191"/>
      <c r="E11" s="1186"/>
      <c r="F11" s="1190"/>
      <c r="G11" s="2395" t="str">
        <f>COVER!T19</f>
        <v>Salem</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f>COVER!T25</f>
        <v>0</v>
      </c>
      <c r="J13" s="2417"/>
      <c r="K13" s="2417"/>
      <c r="L13" s="2418"/>
    </row>
    <row r="14" spans="1:29" ht="13.5" customHeight="1" x14ac:dyDescent="0.2">
      <c r="A14" s="2395" t="str">
        <f>COVER!A19</f>
        <v>200 East Schwartz</v>
      </c>
      <c r="B14" s="2408"/>
      <c r="C14" s="2408"/>
      <c r="D14" s="2408"/>
      <c r="E14" s="2408"/>
      <c r="F14" s="2409"/>
      <c r="G14" s="1195" t="s">
        <v>1185</v>
      </c>
      <c r="H14" s="1193"/>
      <c r="I14" s="1193"/>
      <c r="J14" s="1193"/>
      <c r="K14" s="1193"/>
      <c r="L14" s="1194"/>
    </row>
    <row r="15" spans="1:29" ht="13.5" customHeight="1" x14ac:dyDescent="0.2">
      <c r="A15" s="2395" t="str">
        <f>COVER!A21</f>
        <v>Salem</v>
      </c>
      <c r="B15" s="2408"/>
      <c r="C15" s="2408"/>
      <c r="D15" s="2408"/>
      <c r="E15" s="2408"/>
      <c r="F15" s="2409"/>
      <c r="G15" s="2405" t="str">
        <f>COVER!T15</f>
        <v>Sara E. Hanks</v>
      </c>
      <c r="H15" s="2406"/>
      <c r="I15" s="2406"/>
      <c r="J15" s="2406"/>
      <c r="K15" s="2406"/>
      <c r="L15" s="2407"/>
    </row>
    <row r="16" spans="1:29" ht="12.2" customHeight="1" x14ac:dyDescent="0.2">
      <c r="A16" s="2385">
        <f>COVER!A25</f>
        <v>62881</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618-548-1002</v>
      </c>
      <c r="H18" s="2383"/>
      <c r="I18" s="2383"/>
      <c r="J18" s="2383"/>
      <c r="K18" s="2382" t="str">
        <f>COVER!X21</f>
        <v>618-548-1018</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 xml:space="preserve">&amp;LSee accompanying notes to the financial statements.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topLeftCell="A128"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Marion Clinton Wash Co CTES</v>
      </c>
      <c r="B1" s="2419"/>
      <c r="C1" s="2419"/>
      <c r="D1" s="2419"/>
    </row>
    <row r="2" spans="1:11" s="1212" customFormat="1" ht="12.75" x14ac:dyDescent="0.2">
      <c r="A2" s="2424">
        <f>'Single Audit Cover'!E7</f>
        <v>13000000046</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Footer xml:space="preserve">&amp;LSee accompanying notes to the financial statements.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topLeftCell="A15"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Marion Clinton Wash Co CTES</v>
      </c>
      <c r="B1" s="2427"/>
      <c r="C1" s="2427"/>
      <c r="D1" s="2427"/>
      <c r="E1" s="2427"/>
    </row>
    <row r="2" spans="1:5" x14ac:dyDescent="0.2">
      <c r="A2" s="2428">
        <f>'Single Audit Cover'!E7</f>
        <v>13000000046</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132514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0</v>
      </c>
    </row>
    <row r="19" spans="1:4" ht="13.5" thickBot="1" x14ac:dyDescent="0.25">
      <c r="A19" s="1262" t="s">
        <v>1235</v>
      </c>
      <c r="D19" s="1263">
        <f>SUM(D10:D17)</f>
        <v>132514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132514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132514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 xml:space="preserve">&amp;LSee accompanying notes to the financial statements.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Marion Clinton Wash Co CTES</v>
      </c>
      <c r="C1" s="2431"/>
      <c r="D1" s="2431"/>
      <c r="E1" s="2431"/>
      <c r="F1" s="2431"/>
      <c r="G1" s="2431"/>
      <c r="H1" s="2431"/>
      <c r="I1" s="2431"/>
      <c r="J1" s="2431"/>
      <c r="K1" s="2431"/>
      <c r="L1" s="2431"/>
      <c r="M1" s="2431"/>
    </row>
    <row r="2" spans="2:14" ht="15" x14ac:dyDescent="0.2">
      <c r="B2" s="2432">
        <f>'Single Audit Cover'!E7</f>
        <v>13000000046</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 xml:space="preserve">&amp;LSee accompanying notes to the financial statements.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Marion Clinton Wash Co CTES</v>
      </c>
      <c r="B1" s="2436"/>
      <c r="C1" s="2436"/>
      <c r="D1" s="2436"/>
      <c r="E1" s="2436"/>
      <c r="F1" s="2436"/>
    </row>
    <row r="2" spans="1:7" ht="13.5" customHeight="1" x14ac:dyDescent="0.2">
      <c r="A2" s="2432">
        <f>'Single Audit Cover'!E7</f>
        <v>13000000046</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Footer xml:space="preserve">&amp;LSee accompanying notes to the financial statements.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76" colorId="8" zoomScaleNormal="110" workbookViewId="0">
      <selection activeCell="A17" sqref="A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2071</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33" right="0.16" top="0.7" bottom="0.62" header="0.54" footer="0.33"/>
  <pageSetup scale="83" firstPageNumber="2" orientation="portrait" useFirstPageNumber="1" r:id="rId1"/>
  <headerFooter differentOddEven="1" alignWithMargins="0">
    <oddHeader>&amp;CMarion, Clinton, Washington Counties Career and Technical Education System</oddHeader>
    <oddFooter>&amp;L&amp;9See accompanying notes to the financial statements.
&amp;C- 7 -</oddFooter>
    <evenHeader>&amp;CMarion, Clinton, Washington Counties Career and Technical Education System</evenHeader>
    <evenFooter>&amp;LSee accompanying notes to the financial statements.
&amp;C- 8 -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topLeftCell="A7" zoomScaleNormal="110" workbookViewId="0">
      <selection activeCell="C38" sqref="C38:F3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Marion Clinton Wash Co CTES</v>
      </c>
      <c r="C1" s="2452"/>
      <c r="D1" s="2452"/>
      <c r="E1" s="2452"/>
      <c r="F1" s="2452"/>
      <c r="G1" s="2452"/>
      <c r="H1" s="2452"/>
      <c r="I1" s="2452"/>
      <c r="J1" s="1406"/>
    </row>
    <row r="2" spans="2:10" s="317" customFormat="1" ht="12.75" customHeight="1" x14ac:dyDescent="0.2">
      <c r="B2" s="2453">
        <f>'Single Audit Cover'!E7</f>
        <v>13000000046</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2085</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Footer xml:space="preserve">&amp;LSee accompanying notes to the financial statements.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18"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Marion Clinton Wash Co CTES</v>
      </c>
      <c r="C1" s="2451"/>
      <c r="D1" s="2451"/>
      <c r="E1" s="2451"/>
      <c r="F1" s="2451"/>
      <c r="G1" s="2451"/>
      <c r="H1" s="2451"/>
      <c r="I1" s="2451"/>
      <c r="J1" s="2451"/>
      <c r="K1" s="2451"/>
      <c r="L1" s="1371"/>
      <c r="M1" s="1371"/>
    </row>
    <row r="2" spans="1:13" ht="12" customHeight="1" x14ac:dyDescent="0.2">
      <c r="B2" s="2453">
        <f>'Single Audit Cover'!E7</f>
        <v>13000000046</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2063</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2080</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2081</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2082</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2088</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2089</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2083</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t="s">
        <v>2084</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91" header="0.26" footer="0.56999999999999995"/>
  <pageSetup firstPageNumber="41" orientation="portrait" useFirstPageNumber="1" r:id="rId1"/>
  <headerFooter alignWithMargins="0">
    <oddFooter>&amp;L&amp;9See accompanying notes to the financial statements.
&amp;C- 30 -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Layout"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Marion Clinton Wash Co CTES</v>
      </c>
      <c r="C1" s="2478"/>
      <c r="D1" s="2478"/>
      <c r="E1" s="2478"/>
      <c r="F1" s="2478"/>
      <c r="G1" s="2478"/>
      <c r="H1" s="2478"/>
      <c r="I1" s="2478"/>
      <c r="J1" s="2478"/>
      <c r="K1" s="2478"/>
      <c r="L1" s="1449"/>
    </row>
    <row r="2" spans="1:12" ht="12.75" customHeight="1" x14ac:dyDescent="0.2">
      <c r="B2" s="2479">
        <f>'Single Audit Cover'!E7</f>
        <v>13000000046</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 xml:space="preserve">&amp;LSee accompanying notes to the financial statements.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Layout" zoomScaleNormal="110" workbookViewId="0">
      <selection activeCell="D51" sqref="D5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Marion Clinton Wash Co CTES</v>
      </c>
      <c r="C1" s="2451"/>
      <c r="D1" s="2451"/>
      <c r="E1" s="1469"/>
    </row>
    <row r="2" spans="2:5" s="1279" customFormat="1" ht="12.75" customHeight="1" x14ac:dyDescent="0.2">
      <c r="B2" s="2453">
        <f>'Single Audit Cover'!E7</f>
        <v>13000000046</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 xml:space="preserve">&amp;LSee accompanying notes to the financial statements.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38" colorId="8" zoomScaleNormal="110" workbookViewId="0">
      <selection activeCell="J64" sqref="J6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552102</v>
      </c>
      <c r="E16" s="356"/>
      <c r="F16" s="1733">
        <f>SUM('Acct Summary 7-8'!C17,'Acct Summary 7-8'!D17,'Acct Summary 7-8'!F17)</f>
        <v>596416</v>
      </c>
      <c r="G16" s="356"/>
      <c r="H16" s="1733">
        <f>SUM(D16-F16)</f>
        <v>-44314</v>
      </c>
      <c r="I16" s="222"/>
      <c r="J16" s="1733">
        <f>SUM('Acct Summary 7-8'!C81,'Acct Summary 7-8'!D81,'Acct Summary 7-8'!F81,'Acct Summary 7-8'!I81)</f>
        <v>253620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&amp;CMarion, Clinton, Washington Counties Career and Technical Education System</oddHeader>
    <oddFooter xml:space="preserve">&amp;L&amp;8See accompanying notes to the financial statements.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22" zoomScaleNormal="110" workbookViewId="0">
      <selection activeCell="F46" sqref="F4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Marion Clinton Wash Co CTES</v>
      </c>
      <c r="E7" s="391"/>
      <c r="G7" s="252"/>
      <c r="H7" s="387"/>
      <c r="I7" s="387"/>
      <c r="J7" s="387"/>
      <c r="K7" s="387"/>
      <c r="L7" s="329"/>
      <c r="M7" s="329"/>
      <c r="N7" s="329"/>
      <c r="O7" s="329"/>
      <c r="P7" s="329"/>
    </row>
    <row r="8" spans="1:18" ht="12.75" x14ac:dyDescent="0.2">
      <c r="A8" s="329"/>
      <c r="B8" s="329"/>
      <c r="C8" s="389" t="s">
        <v>1125</v>
      </c>
      <c r="D8" s="392">
        <f>COVER!A13</f>
        <v>13000000046</v>
      </c>
      <c r="E8" s="393"/>
      <c r="G8" s="329"/>
      <c r="H8" s="329"/>
      <c r="I8" s="329"/>
      <c r="J8" s="329"/>
      <c r="K8" s="329"/>
      <c r="L8" s="329"/>
      <c r="M8" s="329"/>
      <c r="N8" s="329"/>
      <c r="O8" s="329"/>
      <c r="P8" s="329"/>
    </row>
    <row r="9" spans="1:18" ht="12.75" x14ac:dyDescent="0.2">
      <c r="A9" s="329"/>
      <c r="B9" s="329"/>
      <c r="C9" s="389" t="s">
        <v>713</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253620</v>
      </c>
      <c r="I12" s="404"/>
      <c r="J12" s="404"/>
      <c r="K12" s="405">
        <f>TRUNC((H12/H13*100000),5)/100000</f>
        <v>0.45937163780000001</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552102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596416</v>
      </c>
      <c r="I17" s="404"/>
      <c r="J17" s="416"/>
      <c r="K17" s="405">
        <f>TRUNC((H17/H18*100000),5)/100000</f>
        <v>1.080264154</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552102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4.4773614999999998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253620</v>
      </c>
      <c r="I24" s="422"/>
      <c r="J24" s="422"/>
      <c r="K24" s="423">
        <f>TRUNC(((H24/H25*100000)/100000),2)</f>
        <v>153.08000000000001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1656.71111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68" header="0.39" footer="0.28000000000000003"/>
  <pageSetup scale="85" firstPageNumber="4" orientation="landscape" useFirstPageNumber="1" r:id="rId3"/>
  <headerFooter alignWithMargins="0">
    <oddHeader>&amp;CMarion, Clinton, Washington Counties Career and Technical Education System</oddHeader>
    <oddFooter xml:space="preserve">&amp;L&amp;8See accompanying notes to the financial statements.
&amp;C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26" activePane="bottomLeft" state="frozen"/>
      <selection activeCell="A17" sqref="A17"/>
      <selection pane="bottomLeft" activeCell="A17" sqref="A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253620</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253620</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1112473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1112473</v>
      </c>
      <c r="N23" s="1688">
        <f>SUM(N21:N22)</f>
        <v>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8738</v>
      </c>
      <c r="D38" s="466"/>
      <c r="E38" s="466"/>
      <c r="F38" s="466"/>
      <c r="G38" s="466"/>
      <c r="H38" s="466"/>
      <c r="I38" s="466"/>
      <c r="J38" s="467"/>
      <c r="K38" s="466"/>
      <c r="L38" s="481"/>
      <c r="M38" s="497"/>
      <c r="N38" s="497"/>
    </row>
    <row r="39" spans="1:14" s="329" customFormat="1" ht="13.5" customHeight="1" x14ac:dyDescent="0.2">
      <c r="A39" s="496" t="s">
        <v>342</v>
      </c>
      <c r="B39" s="483">
        <v>730</v>
      </c>
      <c r="C39" s="466">
        <v>244882</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1112473</v>
      </c>
      <c r="N40" s="497"/>
    </row>
    <row r="41" spans="1:14" ht="13.5" customHeight="1" thickBot="1" x14ac:dyDescent="0.25">
      <c r="A41" s="1736" t="s">
        <v>655</v>
      </c>
      <c r="B41" s="1706"/>
      <c r="C41" s="1688">
        <f>(SUM(C34,C37,C38,C39))</f>
        <v>253620</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1112473</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gridLinesSet="0"/>
  <pageMargins left="0.46" right="0.15" top="0.86" bottom="0.52" header="0.43" footer="0.31"/>
  <pageSetup scale="75" firstPageNumber="9" orientation="landscape" useFirstPageNumber="1" r:id="rId1"/>
  <headerFooter alignWithMargins="0">
    <oddHeader xml:space="preserve">&amp;C&amp;"Arial,Bold"&amp;9Marion, Clinton, Washington Counties Career and Technical Education System
STATEMENT OF ASSETS AND LIABILITIES ARISING FROM CASH TRANSACTIONS
STATEMENT OF POSITION AS OF JUNE 30, 2019
</oddHeader>
    <oddFooter>&amp;L&amp;9See accompanying notes to the financial statements.
&amp;C- &amp;P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9" activePane="bottomLeft" state="frozen"/>
      <selection activeCell="A17" sqref="A17"/>
      <selection pane="bottomLeft" activeCell="A17" sqref="A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30078</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389510</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132514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552102</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7305</v>
      </c>
      <c r="D9" s="516"/>
      <c r="E9" s="481"/>
      <c r="F9" s="481"/>
      <c r="G9" s="517"/>
      <c r="H9" s="481"/>
      <c r="I9" s="509" t="s">
        <v>1169</v>
      </c>
      <c r="J9" s="478"/>
      <c r="K9" s="481"/>
      <c r="L9" s="347"/>
    </row>
    <row r="10" spans="1:13" s="519" customFormat="1" ht="13.5" thickBot="1" x14ac:dyDescent="0.25">
      <c r="A10" s="1736" t="s">
        <v>1173</v>
      </c>
      <c r="B10" s="1709"/>
      <c r="C10" s="1688">
        <f>SUM(C8:C9)</f>
        <v>559407</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429027</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135475</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31914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596416</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7305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603721</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4" t="s">
        <v>1655</v>
      </c>
      <c r="B20" s="2125"/>
      <c r="C20" s="1746">
        <f>C8-C17</f>
        <v>-44314</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-44314</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1948</v>
      </c>
      <c r="B79" s="534"/>
      <c r="C79" s="478">
        <v>297934</v>
      </c>
      <c r="D79" s="535"/>
      <c r="E79" s="535"/>
      <c r="F79" s="535"/>
      <c r="G79" s="535"/>
      <c r="H79" s="535"/>
      <c r="I79" s="535"/>
      <c r="J79" s="535"/>
      <c r="K79" s="535"/>
      <c r="L79" s="347"/>
    </row>
    <row r="80" spans="1:12" x14ac:dyDescent="0.2">
      <c r="A80" s="2126" t="s">
        <v>1795</v>
      </c>
      <c r="B80" s="2127"/>
      <c r="C80" s="467">
        <v>0</v>
      </c>
      <c r="D80" s="467"/>
      <c r="E80" s="467"/>
      <c r="F80" s="467"/>
      <c r="G80" s="467"/>
      <c r="H80" s="467"/>
      <c r="I80" s="467"/>
      <c r="J80" s="467"/>
      <c r="K80" s="467"/>
      <c r="L80" s="347"/>
    </row>
    <row r="81" spans="1:12" ht="13.5" thickBot="1" x14ac:dyDescent="0.25">
      <c r="A81" s="2118" t="s">
        <v>1949</v>
      </c>
      <c r="B81" s="2119"/>
      <c r="C81" s="1688">
        <f>(SUM(C78:C80))</f>
        <v>253620</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-44314</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-0.17472596798359752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35" right="0" top="0.8" bottom="0.56000000000000005" header="0.36" footer="0.32"/>
  <pageSetup scale="73" firstPageNumber="11" orientation="landscape" useFirstPageNumber="1" r:id="rId1"/>
  <headerFooter alignWithMargins="0">
    <oddHeader xml:space="preserve">&amp;C&amp;"Arial,Bold"&amp;9Marion, Clinton, Washington Career Technical Education System 
STATEMENT OF REVENUES RECEIVED/REVENUES, EXPENDITURES/DISBURSED/EXPENDITURES, 
OTHER SOURCES (USES) AND CHANGES IN FUND BALANCE ALL FUNDS - FOR THE YEAR ENDING JUNE 30, 2019 </oddHeader>
    <oddFooter>&amp;L&amp;9See accompanying notes to the financial statements.
&amp;C- &amp;P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3" activePane="bottomLeft" state="frozen"/>
      <selection activeCell="A17" sqref="A17"/>
      <selection pane="bottomLeft" activeCell="A17" sqref="A1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1278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1278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28800</v>
      </c>
      <c r="D107" s="466"/>
      <c r="E107" s="466"/>
      <c r="F107" s="466"/>
      <c r="G107" s="466"/>
      <c r="H107" s="466"/>
      <c r="I107" s="466"/>
      <c r="J107" s="467"/>
      <c r="K107" s="466"/>
    </row>
    <row r="108" spans="1:12" ht="12.75" customHeight="1" thickBot="1" x14ac:dyDescent="0.25">
      <c r="A108" s="1708" t="s">
        <v>487</v>
      </c>
      <c r="B108" s="1712"/>
      <c r="C108" s="1707">
        <f>SUM(C95:C107)</f>
        <v>28800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30078</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389510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389510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389510</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389510</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132514</v>
      </c>
      <c r="D220" s="466"/>
      <c r="E220" s="468"/>
      <c r="F220" s="468"/>
      <c r="G220" s="466"/>
      <c r="H220" s="468"/>
      <c r="I220" s="468"/>
      <c r="J220" s="468"/>
      <c r="K220" s="468"/>
    </row>
    <row r="221" spans="1:11" ht="12.75" customHeight="1" thickBot="1" x14ac:dyDescent="0.25">
      <c r="A221" s="1723" t="s">
        <v>1085</v>
      </c>
      <c r="B221" s="1724"/>
      <c r="C221" s="1707">
        <f>SUM(C219:C220)</f>
        <v>132514</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1936</v>
      </c>
      <c r="B261" s="470">
        <v>4981</v>
      </c>
      <c r="C261" s="575"/>
      <c r="D261" s="576"/>
      <c r="E261" s="468"/>
      <c r="F261" s="576"/>
      <c r="G261" s="576"/>
      <c r="H261" s="468"/>
      <c r="I261" s="468"/>
      <c r="J261" s="468"/>
      <c r="K261" s="468"/>
    </row>
    <row r="262" spans="1:11" ht="12.75" customHeight="1" thickTop="1" thickBot="1" x14ac:dyDescent="0.25">
      <c r="A262" s="1932"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132514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132514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552102</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ageMargins left="0.41" right="0.15" top="0.66" bottom="0.46" header="0.26" footer="0.2"/>
  <pageSetup scale="73" firstPageNumber="13" orientation="landscape" useFirstPageNumber="1" r:id="rId1"/>
  <headerFooter alignWithMargins="0">
    <oddHeader>&amp;C&amp;"Arial,Bold"&amp;9Marion, Clinton, Washington Counties Career and Technical Education System
STATEMENT OF REVENUES RECEIVED/REVENUES
FOR THE YEAR ENDING JUNE 30, 2019</oddHeader>
    <oddFooter>&amp;L&amp;9See accompanying notes to the financial statements.
&amp;C- &amp;P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7" sqref="A17"/>
      <selection pane="bottomLeft" activeCell="A17" sqref="A1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v>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c r="D8" s="466"/>
      <c r="E8" s="466"/>
      <c r="F8" s="466"/>
      <c r="G8" s="466"/>
      <c r="H8" s="466"/>
      <c r="I8" s="467"/>
      <c r="J8" s="467"/>
      <c r="K8" s="1671">
        <f t="shared" si="0"/>
        <v>0</v>
      </c>
      <c r="L8" s="466">
        <v>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43294</v>
      </c>
      <c r="D13" s="466">
        <v>2749</v>
      </c>
      <c r="E13" s="466">
        <f>44680+8961</f>
        <v>53641</v>
      </c>
      <c r="F13" s="466">
        <v>172429</v>
      </c>
      <c r="G13" s="466">
        <v>156914</v>
      </c>
      <c r="H13" s="466"/>
      <c r="I13" s="467"/>
      <c r="J13" s="467"/>
      <c r="K13" s="1671">
        <f t="shared" si="0"/>
        <v>429027</v>
      </c>
      <c r="L13" s="466">
        <v>702578</v>
      </c>
    </row>
    <row r="14" spans="1:14" x14ac:dyDescent="0.2">
      <c r="A14" s="1504" t="s">
        <v>963</v>
      </c>
      <c r="B14" s="614">
        <v>1500</v>
      </c>
      <c r="C14" s="466"/>
      <c r="D14" s="466"/>
      <c r="E14" s="466"/>
      <c r="F14" s="466"/>
      <c r="G14" s="466"/>
      <c r="H14" s="466"/>
      <c r="I14" s="467"/>
      <c r="J14" s="467"/>
      <c r="K14" s="1671">
        <f t="shared" si="0"/>
        <v>0</v>
      </c>
      <c r="L14" s="466">
        <v>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43294</v>
      </c>
      <c r="D33" s="1670">
        <f t="shared" ref="D33:L33" si="1">SUM(D5:D32)</f>
        <v>2749</v>
      </c>
      <c r="E33" s="1670">
        <f t="shared" si="1"/>
        <v>53641</v>
      </c>
      <c r="F33" s="1670">
        <f t="shared" si="1"/>
        <v>172429</v>
      </c>
      <c r="G33" s="1670">
        <f t="shared" si="1"/>
        <v>156914</v>
      </c>
      <c r="H33" s="1670">
        <f t="shared" si="1"/>
        <v>0</v>
      </c>
      <c r="I33" s="1670">
        <f t="shared" si="1"/>
        <v>0</v>
      </c>
      <c r="J33" s="1670">
        <f t="shared" si="1"/>
        <v>0</v>
      </c>
      <c r="K33" s="1670">
        <f t="shared" si="1"/>
        <v>429027</v>
      </c>
      <c r="L33" s="1670">
        <f t="shared" si="1"/>
        <v>702578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c r="D37" s="466"/>
      <c r="E37" s="466"/>
      <c r="F37" s="466"/>
      <c r="G37" s="466"/>
      <c r="H37" s="466"/>
      <c r="I37" s="467"/>
      <c r="J37" s="467"/>
      <c r="K37" s="1671">
        <f t="shared" si="2"/>
        <v>0</v>
      </c>
      <c r="L37" s="466">
        <v>0</v>
      </c>
    </row>
    <row r="38" spans="1:14" x14ac:dyDescent="0.2">
      <c r="A38" s="1504" t="s">
        <v>198</v>
      </c>
      <c r="B38" s="614">
        <v>2130</v>
      </c>
      <c r="C38" s="466"/>
      <c r="D38" s="466"/>
      <c r="E38" s="466"/>
      <c r="F38" s="466"/>
      <c r="G38" s="466"/>
      <c r="H38" s="466"/>
      <c r="I38" s="467"/>
      <c r="J38" s="467"/>
      <c r="K38" s="1671">
        <f t="shared" si="2"/>
        <v>0</v>
      </c>
      <c r="L38" s="466">
        <v>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41833</v>
      </c>
      <c r="D44" s="481">
        <v>1866</v>
      </c>
      <c r="E44" s="481">
        <v>14547</v>
      </c>
      <c r="F44" s="481">
        <v>1280</v>
      </c>
      <c r="G44" s="481"/>
      <c r="H44" s="481"/>
      <c r="I44" s="467"/>
      <c r="J44" s="467"/>
      <c r="K44" s="1672">
        <f>SUM(C44:J44)</f>
        <v>59526</v>
      </c>
      <c r="L44" s="481">
        <v>63681</v>
      </c>
    </row>
    <row r="45" spans="1:14" x14ac:dyDescent="0.2">
      <c r="A45" s="1504" t="s">
        <v>815</v>
      </c>
      <c r="B45" s="614">
        <v>2220</v>
      </c>
      <c r="C45" s="466"/>
      <c r="D45" s="466"/>
      <c r="E45" s="466"/>
      <c r="F45" s="466"/>
      <c r="G45" s="466"/>
      <c r="H45" s="466"/>
      <c r="I45" s="467"/>
      <c r="J45" s="467"/>
      <c r="K45" s="1672">
        <f>SUM(C45:J45)</f>
        <v>0</v>
      </c>
      <c r="L45" s="466">
        <v>0</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41833</v>
      </c>
      <c r="D47" s="1670">
        <f t="shared" ref="D47:K47" si="4">SUM(D44:D46)</f>
        <v>1866</v>
      </c>
      <c r="E47" s="1670">
        <f t="shared" si="4"/>
        <v>14547</v>
      </c>
      <c r="F47" s="1670">
        <f t="shared" si="4"/>
        <v>1280</v>
      </c>
      <c r="G47" s="1670">
        <f t="shared" si="4"/>
        <v>0</v>
      </c>
      <c r="H47" s="1670">
        <f t="shared" si="4"/>
        <v>0</v>
      </c>
      <c r="I47" s="1670">
        <f t="shared" si="4"/>
        <v>0</v>
      </c>
      <c r="J47" s="1670">
        <f t="shared" si="4"/>
        <v>0</v>
      </c>
      <c r="K47" s="1670">
        <f t="shared" si="4"/>
        <v>59526</v>
      </c>
      <c r="L47" s="1670">
        <f>SUM(L44:L46)</f>
        <v>63681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v>0</v>
      </c>
    </row>
    <row r="50" spans="1:14" x14ac:dyDescent="0.2">
      <c r="A50" s="1504" t="s">
        <v>818</v>
      </c>
      <c r="B50" s="614">
        <v>2320</v>
      </c>
      <c r="C50" s="466">
        <v>6167</v>
      </c>
      <c r="D50" s="466">
        <v>89</v>
      </c>
      <c r="E50" s="466">
        <v>9918</v>
      </c>
      <c r="F50" s="466"/>
      <c r="G50" s="466"/>
      <c r="H50" s="466"/>
      <c r="I50" s="467"/>
      <c r="J50" s="467"/>
      <c r="K50" s="1672">
        <f>SUM(C50:J50)</f>
        <v>16174</v>
      </c>
      <c r="L50" s="466">
        <v>31765</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6167</v>
      </c>
      <c r="D53" s="1670">
        <f t="shared" ref="D53:L53" si="5">SUM(D49:D52)</f>
        <v>89</v>
      </c>
      <c r="E53" s="1670">
        <f t="shared" si="5"/>
        <v>9918</v>
      </c>
      <c r="F53" s="1670">
        <f t="shared" si="5"/>
        <v>0</v>
      </c>
      <c r="G53" s="1670">
        <f t="shared" si="5"/>
        <v>0</v>
      </c>
      <c r="H53" s="1670">
        <f t="shared" si="5"/>
        <v>0</v>
      </c>
      <c r="I53" s="1670">
        <f t="shared" si="5"/>
        <v>0</v>
      </c>
      <c r="J53" s="1670">
        <f t="shared" si="5"/>
        <v>0</v>
      </c>
      <c r="K53" s="1670">
        <f t="shared" si="5"/>
        <v>16174</v>
      </c>
      <c r="L53" s="1670">
        <f t="shared" si="5"/>
        <v>31765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v>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52003</v>
      </c>
      <c r="D60" s="466">
        <v>7221</v>
      </c>
      <c r="E60" s="466">
        <v>551</v>
      </c>
      <c r="F60" s="466"/>
      <c r="G60" s="466"/>
      <c r="H60" s="466"/>
      <c r="I60" s="467"/>
      <c r="J60" s="467"/>
      <c r="K60" s="1672">
        <f t="shared" si="7"/>
        <v>59775</v>
      </c>
      <c r="L60" s="466">
        <v>91179</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c r="D63" s="466"/>
      <c r="E63" s="466"/>
      <c r="F63" s="466"/>
      <c r="G63" s="466"/>
      <c r="H63" s="466"/>
      <c r="I63" s="467"/>
      <c r="J63" s="467"/>
      <c r="K63" s="1672">
        <f t="shared" si="7"/>
        <v>0</v>
      </c>
      <c r="L63" s="466">
        <v>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52003</v>
      </c>
      <c r="D65" s="1670">
        <f t="shared" ref="D65:L65" si="8">SUM(D59:D64)</f>
        <v>7221</v>
      </c>
      <c r="E65" s="1670">
        <f t="shared" si="8"/>
        <v>551</v>
      </c>
      <c r="F65" s="1670">
        <f t="shared" si="8"/>
        <v>0</v>
      </c>
      <c r="G65" s="1670">
        <f t="shared" si="8"/>
        <v>0</v>
      </c>
      <c r="H65" s="1670">
        <f t="shared" si="8"/>
        <v>0</v>
      </c>
      <c r="I65" s="1670">
        <f t="shared" si="8"/>
        <v>0</v>
      </c>
      <c r="J65" s="1670">
        <f t="shared" si="8"/>
        <v>0</v>
      </c>
      <c r="K65" s="1670">
        <f t="shared" si="8"/>
        <v>59775</v>
      </c>
      <c r="L65" s="1670">
        <f t="shared" si="8"/>
        <v>91179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100003</v>
      </c>
      <c r="D74" s="1677">
        <f t="shared" ref="D74:K74" si="10">SUM(D42,D47,D53,D57,D65,D72,D73)</f>
        <v>9176</v>
      </c>
      <c r="E74" s="1677">
        <f t="shared" si="10"/>
        <v>25016</v>
      </c>
      <c r="F74" s="1677">
        <f t="shared" si="10"/>
        <v>1280</v>
      </c>
      <c r="G74" s="1677">
        <f t="shared" si="10"/>
        <v>0</v>
      </c>
      <c r="H74" s="1677">
        <f t="shared" si="10"/>
        <v>0</v>
      </c>
      <c r="I74" s="1677">
        <f t="shared" si="10"/>
        <v>0</v>
      </c>
      <c r="J74" s="1677">
        <f t="shared" si="10"/>
        <v>0</v>
      </c>
      <c r="K74" s="1677">
        <f t="shared" si="10"/>
        <v>135475</v>
      </c>
      <c r="L74" s="1677">
        <f>SUM(L42,L47,L53,L57,L65,L72,L73)</f>
        <v>186625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c r="I79" s="477"/>
      <c r="J79" s="477"/>
      <c r="K79" s="1671">
        <f t="shared" si="11"/>
        <v>0</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18486</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v>31914</v>
      </c>
      <c r="I99" s="477"/>
      <c r="J99" s="477"/>
      <c r="K99" s="1677">
        <f>SUM(E99,H99)</f>
        <v>31914</v>
      </c>
      <c r="L99" s="530">
        <v>15000</v>
      </c>
    </row>
    <row r="100" spans="1:14" ht="14.25" thickTop="1" thickBot="1" x14ac:dyDescent="0.25">
      <c r="A100" s="1680" t="s">
        <v>1486</v>
      </c>
      <c r="B100" s="1681">
        <v>4300</v>
      </c>
      <c r="C100" s="616"/>
      <c r="D100" s="616"/>
      <c r="E100" s="1677">
        <f>SUM(E93:E99)</f>
        <v>0</v>
      </c>
      <c r="F100" s="616"/>
      <c r="G100" s="616"/>
      <c r="H100" s="1677">
        <f>SUM(H93:H99)</f>
        <v>31914</v>
      </c>
      <c r="I100" s="477"/>
      <c r="J100" s="477"/>
      <c r="K100" s="1677">
        <f>SUM(K93:K99)</f>
        <v>31914</v>
      </c>
      <c r="L100" s="1677">
        <f>SUM(L93:L99)</f>
        <v>33486</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31914</v>
      </c>
      <c r="I102" s="477"/>
      <c r="J102" s="477"/>
      <c r="K102" s="1677">
        <f>SUM(K84,K92,K100,K101)</f>
        <v>31914</v>
      </c>
      <c r="L102" s="1677">
        <f>SUM(L84,L92,L100,L101)</f>
        <v>33486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143297</v>
      </c>
      <c r="D114" s="1670">
        <f t="shared" ref="D114:K114" si="13">SUM(D33,D74,D75,D102,D112,D113)</f>
        <v>11925</v>
      </c>
      <c r="E114" s="1670">
        <f t="shared" si="13"/>
        <v>78657</v>
      </c>
      <c r="F114" s="1670">
        <f t="shared" si="13"/>
        <v>173709</v>
      </c>
      <c r="G114" s="1670">
        <f t="shared" si="13"/>
        <v>156914</v>
      </c>
      <c r="H114" s="1670">
        <f>SUM(H33,H74,H75,H102,H112,H113)</f>
        <v>31914</v>
      </c>
      <c r="I114" s="1670">
        <f t="shared" si="13"/>
        <v>0</v>
      </c>
      <c r="J114" s="1670">
        <f t="shared" si="13"/>
        <v>0</v>
      </c>
      <c r="K114" s="1670">
        <f t="shared" si="13"/>
        <v>596416</v>
      </c>
      <c r="L114" s="1670">
        <f>SUM(L33,L74,L75,L102,L112,L113)</f>
        <v>922689</v>
      </c>
    </row>
    <row r="115" spans="1:14" ht="13.5" thickTop="1" x14ac:dyDescent="0.2">
      <c r="A115" s="2154" t="s">
        <v>996</v>
      </c>
      <c r="B115" s="2155"/>
      <c r="C115" s="618"/>
      <c r="D115" s="618"/>
      <c r="E115" s="618"/>
      <c r="F115" s="618"/>
      <c r="G115" s="618"/>
      <c r="H115" s="618"/>
      <c r="I115" s="618"/>
      <c r="J115" s="618"/>
      <c r="K115" s="1684">
        <f>'Revenues 9-14'!C268-'Expenditures 15-22'!K114</f>
        <v>-44314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c r="D124" s="466"/>
      <c r="E124" s="466"/>
      <c r="F124" s="466"/>
      <c r="G124" s="466"/>
      <c r="H124" s="466"/>
      <c r="I124" s="467"/>
      <c r="J124" s="467"/>
      <c r="K124" s="1670">
        <f>SUM(C124:J124)</f>
        <v>0</v>
      </c>
      <c r="L124" s="466">
        <v>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1"/>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4" t="s">
        <v>1178</v>
      </c>
      <c r="B152" s="2175"/>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v>0</v>
      </c>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v>0</v>
      </c>
    </row>
    <row r="170" spans="1:14" ht="33.75" customHeight="1" x14ac:dyDescent="0.2">
      <c r="A170" s="669" t="s">
        <v>1670</v>
      </c>
      <c r="B170" s="671" t="s">
        <v>31</v>
      </c>
      <c r="C170" s="616"/>
      <c r="D170" s="616"/>
      <c r="E170" s="616"/>
      <c r="F170" s="616"/>
      <c r="G170" s="616"/>
      <c r="H170" s="569"/>
      <c r="I170" s="616"/>
      <c r="J170" s="616"/>
      <c r="K170" s="1671">
        <f>SUM(C170:J170)</f>
        <v>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4" t="s">
        <v>996</v>
      </c>
      <c r="B175" s="2155"/>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v>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4" t="s">
        <v>996</v>
      </c>
      <c r="B211" s="2155"/>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v>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c r="E217" s="616"/>
      <c r="F217" s="616"/>
      <c r="G217" s="616"/>
      <c r="H217" s="616"/>
      <c r="I217" s="616"/>
      <c r="J217" s="616"/>
      <c r="K217" s="1671">
        <f t="shared" si="19"/>
        <v>0</v>
      </c>
      <c r="L217" s="466">
        <v>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c r="E246" s="616"/>
      <c r="F246" s="616"/>
      <c r="G246" s="616"/>
      <c r="H246" s="616"/>
      <c r="I246" s="616"/>
      <c r="J246" s="616"/>
      <c r="K246" s="1672">
        <f t="shared" ref="K246:K256" si="21">D246</f>
        <v>0</v>
      </c>
      <c r="L246" s="466">
        <v>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c r="E264" s="616"/>
      <c r="F264" s="616"/>
      <c r="G264" s="616"/>
      <c r="H264" s="616"/>
      <c r="I264" s="616"/>
      <c r="J264" s="616"/>
      <c r="K264" s="1672">
        <f t="shared" ref="K264:K269" si="22">D264</f>
        <v>0</v>
      </c>
      <c r="L264" s="466">
        <v>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c r="E266" s="616"/>
      <c r="F266" s="616"/>
      <c r="G266" s="616"/>
      <c r="H266" s="616"/>
      <c r="I266" s="616"/>
      <c r="J266" s="616"/>
      <c r="K266" s="1672">
        <f t="shared" si="22"/>
        <v>0</v>
      </c>
      <c r="L266" s="466">
        <v>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4" t="s">
        <v>996</v>
      </c>
      <c r="B296" s="2155"/>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v>0</v>
      </c>
    </row>
    <row r="355" spans="1:14" ht="12.75" customHeight="1" x14ac:dyDescent="0.2">
      <c r="A355" s="1513" t="s">
        <v>1853</v>
      </c>
      <c r="B355" s="690" t="s">
        <v>1846</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4" t="s">
        <v>996</v>
      </c>
      <c r="B368" s="2155"/>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3" right="0.2" top="0.61" bottom="0.46" header="0.22" footer="0.26"/>
  <pageSetup scale="73" firstPageNumber="19" fitToHeight="0" orientation="landscape" useFirstPageNumber="1" r:id="rId1"/>
  <headerFooter alignWithMargins="0">
    <oddHeader>&amp;C&amp;"Arial,Bold"&amp;9Marion, Clinton, Washington Counties Career and Technical Education System
STATEMENT OF EXPENDITURES DISBURSED/EXPENDITURES, BUDGET TO ACTUAL
FOR THE YEAR ENDING JUNE 30, 2019</oddHeader>
    <oddFooter>&amp;L&amp;9See accompanying notes to the financial statements.
&amp;C- &amp;P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6ce3111e-7420-4802-b50a-75d4e9a0b980"/>
    <ds:schemaRef ds:uri="http://purl.org/dc/elements/1.1/"/>
    <ds:schemaRef ds:uri="http://purl.org/dc/terms/"/>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2019-10-25T17:24:29Z</cp:lastPrinted>
  <dcterms:created xsi:type="dcterms:W3CDTF">2003-10-29T19:06:34Z</dcterms:created>
  <dcterms:modified xsi:type="dcterms:W3CDTF">2019-12-10T21:43:24Z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